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HIX\phi\AG_F&amp;M\F&amp;M_Projekte\1030_F_outPHit\WP4_DecisionMakingSupport\Deliverables\D.4.5_Additional Renovation Cost Calculator\"/>
    </mc:Choice>
  </mc:AlternateContent>
  <bookViews>
    <workbookView xWindow="9810" yWindow="1215" windowWidth="16260" windowHeight="5850"/>
  </bookViews>
  <sheets>
    <sheet name="Inputs" sheetId="2" r:id="rId1"/>
    <sheet name="Results" sheetId="7" r:id="rId2"/>
    <sheet name="Windows" sheetId="4" state="hidden" r:id="rId3"/>
    <sheet name="Areas" sheetId="3" state="hidden" r:id="rId4"/>
    <sheet name="Ventilation" sheetId="6" state="hidden" r:id="rId5"/>
    <sheet name="Airtightness" sheetId="5" state="hidden" r:id="rId6"/>
    <sheet name="Heating - Cooling" sheetId="8" state="hidden" r:id="rId7"/>
    <sheet name="Study" sheetId="10" state="hidden" r:id="rId8"/>
  </sheets>
  <externalReferences>
    <externalReference r:id="rId9"/>
  </externalReferences>
  <definedNames>
    <definedName name="PHPP_Daten_Angrenzend_an">[1]Δεδομένα!$C$753:$C$756</definedName>
    <definedName name="PHPP_Daten_Ankreuzen">[1]Δεδομένα!$A$718:$A$719</definedName>
    <definedName name="PHPP_Daten_Ausrichtung_Bauteil">[1]Δεδομένα!$A$753:$A$756</definedName>
    <definedName name="PHPP_Komponenten_Liste_Bauteilaufbauten">Ventilation!$MM$21:$MM$517</definedName>
  </definedNames>
  <calcPr calcId="152511"/>
</workbook>
</file>

<file path=xl/calcChain.xml><?xml version="1.0" encoding="utf-8"?>
<calcChain xmlns="http://schemas.openxmlformats.org/spreadsheetml/2006/main">
  <c r="R111" i="2" l="1"/>
  <c r="R110" i="2"/>
  <c r="R98" i="2"/>
  <c r="R99" i="2"/>
  <c r="R100" i="2"/>
  <c r="R101" i="2"/>
  <c r="R102" i="2"/>
  <c r="R103" i="2"/>
  <c r="R97" i="2"/>
  <c r="R88" i="2"/>
  <c r="R89" i="2"/>
  <c r="R90" i="2"/>
  <c r="R87" i="2"/>
  <c r="R59" i="2"/>
  <c r="R60" i="2"/>
  <c r="R61" i="2"/>
  <c r="R62" i="2"/>
  <c r="R63" i="2"/>
  <c r="R64" i="2"/>
  <c r="R65" i="2"/>
  <c r="R58" i="2"/>
  <c r="R50" i="2"/>
  <c r="R48" i="2"/>
  <c r="R46" i="2"/>
  <c r="R73" i="2"/>
  <c r="R74" i="2"/>
  <c r="R75" i="2"/>
  <c r="R77" i="2"/>
  <c r="R78" i="2"/>
  <c r="R79" i="2"/>
  <c r="R80" i="2"/>
  <c r="R81" i="2"/>
  <c r="R72" i="2"/>
  <c r="U65" i="2"/>
  <c r="U63" i="2"/>
  <c r="U61" i="2"/>
  <c r="U59" i="2"/>
  <c r="U58" i="2"/>
  <c r="U81" i="2"/>
  <c r="U78" i="2"/>
  <c r="U79" i="2"/>
  <c r="U80" i="2"/>
  <c r="U77" i="2"/>
  <c r="U74" i="2"/>
  <c r="U73" i="2"/>
  <c r="U72" i="2"/>
  <c r="U88" i="2"/>
  <c r="U89" i="2"/>
  <c r="U90" i="2"/>
  <c r="U87" i="2"/>
  <c r="U91" i="2"/>
  <c r="U111" i="2"/>
  <c r="U110" i="2"/>
  <c r="U103" i="2"/>
  <c r="U102" i="2"/>
  <c r="U98" i="2"/>
  <c r="U101" i="2" s="1"/>
  <c r="U97" i="2"/>
  <c r="U62" i="2"/>
  <c r="U100" i="2"/>
  <c r="U76" i="2"/>
  <c r="W104" i="2" l="1"/>
  <c r="T102" i="2"/>
  <c r="T98" i="2"/>
  <c r="T97" i="2"/>
  <c r="X102" i="2" l="1"/>
  <c r="Z67" i="2"/>
  <c r="S110" i="2"/>
  <c r="S111" i="2"/>
  <c r="X111" i="2"/>
  <c r="X82" i="2"/>
  <c r="X88" i="2"/>
  <c r="X90" i="2"/>
  <c r="W105" i="2"/>
  <c r="E49" i="7"/>
  <c r="E48" i="7"/>
  <c r="G47" i="7"/>
  <c r="D71" i="6"/>
  <c r="G59" i="7"/>
  <c r="G39" i="7"/>
  <c r="G31" i="7"/>
  <c r="G63" i="7"/>
  <c r="E63" i="7"/>
  <c r="G62" i="7"/>
  <c r="E62" i="7"/>
  <c r="E59" i="7"/>
  <c r="E58" i="7"/>
  <c r="E57" i="7"/>
  <c r="G57" i="7" s="1"/>
  <c r="E39" i="7"/>
  <c r="E33" i="7"/>
  <c r="E37" i="7"/>
  <c r="E31" i="7"/>
  <c r="G27" i="7"/>
  <c r="E27" i="7"/>
  <c r="G18" i="7"/>
  <c r="E18" i="7"/>
  <c r="K7" i="2" l="1"/>
  <c r="C19" i="3"/>
  <c r="G43" i="7" l="1"/>
  <c r="E43" i="7"/>
  <c r="D76" i="6"/>
  <c r="D77" i="6"/>
  <c r="D78" i="6"/>
  <c r="D75" i="6"/>
  <c r="E75" i="6" s="1"/>
  <c r="D70" i="6"/>
  <c r="E70" i="6" s="1"/>
  <c r="D72" i="6"/>
  <c r="E72" i="6" s="1"/>
  <c r="D73" i="6"/>
  <c r="C12" i="4"/>
  <c r="C5" i="4"/>
  <c r="C18" i="3" l="1"/>
  <c r="J37" i="3"/>
  <c r="K37" i="3"/>
  <c r="L37" i="3"/>
  <c r="M37" i="3"/>
  <c r="C127" i="3" l="1"/>
  <c r="E40" i="7" s="1"/>
  <c r="D119" i="3"/>
  <c r="I27" i="8"/>
  <c r="D180" i="3"/>
  <c r="C180" i="3"/>
  <c r="G16" i="2"/>
  <c r="K6" i="2" s="1"/>
  <c r="K20" i="2" s="1"/>
  <c r="K21" i="2" l="1"/>
  <c r="T83" i="3"/>
  <c r="K15" i="2"/>
  <c r="K14" i="2"/>
  <c r="C4" i="10"/>
  <c r="G17" i="2" l="1"/>
  <c r="C9" i="10" l="1"/>
  <c r="C8" i="10"/>
  <c r="C11" i="10" s="1"/>
  <c r="C7" i="10"/>
  <c r="C6" i="10"/>
  <c r="D14" i="8"/>
  <c r="D13" i="8"/>
  <c r="D12" i="8"/>
  <c r="D10" i="8"/>
  <c r="D9" i="8"/>
  <c r="I29" i="8"/>
  <c r="I30" i="8"/>
  <c r="D34" i="8"/>
  <c r="D33" i="8"/>
  <c r="D31" i="8"/>
  <c r="E31" i="8" s="1"/>
  <c r="E2" i="8"/>
  <c r="C24" i="5"/>
  <c r="C29" i="5"/>
  <c r="C31" i="5" s="1"/>
  <c r="C18" i="5"/>
  <c r="C7" i="5"/>
  <c r="F34" i="2"/>
  <c r="E98" i="4"/>
  <c r="G98" i="4" s="1"/>
  <c r="E97" i="4"/>
  <c r="G97" i="4" s="1"/>
  <c r="E96" i="4"/>
  <c r="G96" i="4" s="1"/>
  <c r="E63" i="4"/>
  <c r="G63" i="4" s="1"/>
  <c r="E56" i="4"/>
  <c r="E60" i="4"/>
  <c r="G60" i="4" s="1"/>
  <c r="E61" i="4"/>
  <c r="G61" i="4" s="1"/>
  <c r="E62" i="4"/>
  <c r="G62" i="4" s="1"/>
  <c r="E70" i="4"/>
  <c r="G70" i="4" s="1"/>
  <c r="E69" i="4"/>
  <c r="G69" i="4" s="1"/>
  <c r="E68" i="4"/>
  <c r="G68" i="4" s="1"/>
  <c r="E67" i="4"/>
  <c r="G67" i="4" s="1"/>
  <c r="E66" i="4"/>
  <c r="G66" i="4" s="1"/>
  <c r="E65" i="4"/>
  <c r="G65" i="4" s="1"/>
  <c r="E113" i="4"/>
  <c r="G113" i="4" s="1"/>
  <c r="E112" i="4"/>
  <c r="G112" i="4" s="1"/>
  <c r="E111" i="4"/>
  <c r="G111" i="4" s="1"/>
  <c r="E107" i="4"/>
  <c r="G107" i="4" s="1"/>
  <c r="E106" i="4"/>
  <c r="G106" i="4" s="1"/>
  <c r="E105" i="4"/>
  <c r="G105" i="4" s="1"/>
  <c r="C6" i="4"/>
  <c r="C7" i="4"/>
  <c r="C8" i="4"/>
  <c r="C9" i="4"/>
  <c r="C10" i="4"/>
  <c r="C11" i="4"/>
  <c r="F27" i="2"/>
  <c r="C2" i="4" s="1"/>
  <c r="C130" i="3"/>
  <c r="C129" i="3" s="1"/>
  <c r="Q84" i="3"/>
  <c r="C74" i="3"/>
  <c r="C73" i="3" s="1"/>
  <c r="C175" i="3" s="1"/>
  <c r="I66" i="4" l="1"/>
  <c r="C12" i="10"/>
  <c r="G11" i="7" s="1"/>
  <c r="I105" i="4"/>
  <c r="K27" i="8"/>
  <c r="C150" i="3"/>
  <c r="I112" i="4"/>
  <c r="I61" i="4"/>
  <c r="E9" i="8"/>
  <c r="E11" i="7"/>
  <c r="E12" i="8"/>
  <c r="E33" i="8"/>
  <c r="K29" i="8"/>
  <c r="D15" i="8" l="1"/>
  <c r="I32" i="8"/>
  <c r="C158" i="3"/>
  <c r="F150" i="3"/>
  <c r="F163" i="3"/>
  <c r="C163" i="3"/>
  <c r="E163" i="3"/>
  <c r="F145" i="3"/>
  <c r="E145" i="3"/>
  <c r="D158" i="3"/>
  <c r="H9" i="8" l="1"/>
  <c r="C18" i="8"/>
  <c r="D163" i="3"/>
  <c r="D145" i="3"/>
  <c r="D150" i="3"/>
  <c r="E158" i="3"/>
  <c r="F158" i="3"/>
  <c r="C145" i="3"/>
  <c r="E150" i="3"/>
  <c r="E10" i="7" l="1"/>
  <c r="Q138" i="3"/>
  <c r="T138" i="3"/>
  <c r="D26" i="8" l="1"/>
  <c r="D27" i="8"/>
  <c r="D29" i="8" s="1"/>
  <c r="E87" i="4"/>
  <c r="G87" i="4" s="1"/>
  <c r="E86" i="4"/>
  <c r="G86" i="4" s="1"/>
  <c r="D20" i="4"/>
  <c r="D19" i="4"/>
  <c r="C3" i="5"/>
  <c r="E53" i="4"/>
  <c r="G53" i="4" s="1"/>
  <c r="E47" i="4"/>
  <c r="G47" i="4" s="1"/>
  <c r="E54" i="4"/>
  <c r="G54" i="4" s="1"/>
  <c r="E55" i="4"/>
  <c r="G55" i="4" s="1"/>
  <c r="E46" i="4"/>
  <c r="G46" i="4" s="1"/>
  <c r="E45" i="4"/>
  <c r="G45" i="4" s="1"/>
  <c r="I45" i="4" s="1"/>
  <c r="C9" i="5" l="1"/>
  <c r="C32" i="5"/>
  <c r="E52" i="7"/>
  <c r="I54" i="4"/>
  <c r="D30" i="8"/>
  <c r="E35" i="8" s="1"/>
  <c r="C38" i="8" s="1"/>
  <c r="C33" i="5" l="1"/>
  <c r="G10" i="7"/>
  <c r="E9" i="7"/>
  <c r="G58" i="7"/>
  <c r="C17" i="5" l="1"/>
  <c r="G54" i="7" s="1"/>
  <c r="C20" i="5" l="1"/>
  <c r="E9" i="6"/>
  <c r="E8" i="6"/>
  <c r="E4" i="6"/>
  <c r="E7" i="6"/>
  <c r="F12" i="6" s="1"/>
  <c r="C172" i="3"/>
  <c r="K12" i="2"/>
  <c r="C171" i="3" s="1"/>
  <c r="G8" i="2"/>
  <c r="C176" i="3" l="1"/>
  <c r="E57" i="6"/>
  <c r="G49" i="7" s="1"/>
  <c r="C173" i="3"/>
  <c r="K4" i="2"/>
  <c r="F21" i="2"/>
  <c r="G33" i="7" s="1"/>
  <c r="E92" i="4"/>
  <c r="G92" i="4" s="1"/>
  <c r="E93" i="4"/>
  <c r="G93" i="4" s="1"/>
  <c r="E94" i="4"/>
  <c r="G94" i="4" s="1"/>
  <c r="E95" i="4"/>
  <c r="G95" i="4" s="1"/>
  <c r="E79" i="4"/>
  <c r="G79" i="4" s="1"/>
  <c r="E80" i="4"/>
  <c r="G80" i="4" s="1"/>
  <c r="E81" i="4"/>
  <c r="G81" i="4" s="1"/>
  <c r="E82" i="4"/>
  <c r="G82" i="4" s="1"/>
  <c r="E83" i="4"/>
  <c r="G83" i="4" s="1"/>
  <c r="E84" i="4"/>
  <c r="G84" i="4" s="1"/>
  <c r="E85" i="4"/>
  <c r="G85" i="4" s="1"/>
  <c r="E78" i="4"/>
  <c r="G78" i="4" s="1"/>
  <c r="K11" i="2"/>
  <c r="D22" i="4" s="1"/>
  <c r="F20" i="2"/>
  <c r="K10" i="2"/>
  <c r="D33" i="4" s="1"/>
  <c r="G18" i="2"/>
  <c r="G9" i="2"/>
  <c r="I78" i="4" l="1"/>
  <c r="G20" i="7"/>
  <c r="E20" i="7" s="1"/>
  <c r="K5" i="2"/>
  <c r="M5" i="2" s="1"/>
  <c r="K8" i="2"/>
  <c r="K17" i="2" s="1"/>
  <c r="C70" i="3"/>
  <c r="C69" i="3"/>
  <c r="E58" i="6"/>
  <c r="E76" i="6" s="1"/>
  <c r="I93" i="4"/>
  <c r="D24" i="4"/>
  <c r="D6" i="4" s="1"/>
  <c r="E24" i="4"/>
  <c r="D8" i="4" s="1"/>
  <c r="G8" i="4" s="1"/>
  <c r="D34" i="4"/>
  <c r="E36" i="4" s="1"/>
  <c r="D10" i="4" s="1"/>
  <c r="G10" i="4" s="1"/>
  <c r="D21" i="4"/>
  <c r="D23" i="4" s="1"/>
  <c r="D35" i="4"/>
  <c r="D25" i="4" l="1"/>
  <c r="D5" i="4"/>
  <c r="E5" i="4" s="1"/>
  <c r="D11" i="4"/>
  <c r="G11" i="4" s="1"/>
  <c r="G6" i="4"/>
  <c r="Q90" i="3"/>
  <c r="E36" i="7" s="1"/>
  <c r="T90" i="3"/>
  <c r="G36" i="7" s="1"/>
  <c r="V84" i="3"/>
  <c r="F35" i="4"/>
  <c r="G36" i="4"/>
  <c r="F24" i="4"/>
  <c r="E22" i="7"/>
  <c r="G24" i="4"/>
  <c r="K18" i="2"/>
  <c r="D39" i="4" s="1"/>
  <c r="C14" i="3" s="1"/>
  <c r="T31" i="3" s="1"/>
  <c r="D40" i="4"/>
  <c r="E35" i="4"/>
  <c r="D9" i="4" s="1"/>
  <c r="G19" i="7"/>
  <c r="E19" i="7" s="1"/>
  <c r="G40" i="7"/>
  <c r="Q83" i="3"/>
  <c r="G34" i="7"/>
  <c r="E34" i="7" s="1"/>
  <c r="D114" i="3"/>
  <c r="E23" i="4"/>
  <c r="G23" i="4" s="1"/>
  <c r="D36" i="4"/>
  <c r="D12" i="4" s="1"/>
  <c r="D28" i="4"/>
  <c r="D115" i="3"/>
  <c r="E9" i="4" l="1"/>
  <c r="G9" i="4"/>
  <c r="E11" i="4"/>
  <c r="G12" i="4"/>
  <c r="G5" i="4"/>
  <c r="D7" i="4"/>
  <c r="F23" i="4"/>
  <c r="F9" i="4"/>
  <c r="G35" i="4"/>
  <c r="G22" i="7"/>
  <c r="F36" i="4"/>
  <c r="L18" i="2"/>
  <c r="L17" i="2"/>
  <c r="K23" i="2" s="1"/>
  <c r="C23" i="5" s="1"/>
  <c r="C15" i="3"/>
  <c r="G21" i="7"/>
  <c r="F5" i="4"/>
  <c r="D118" i="3"/>
  <c r="D120" i="3" s="1"/>
  <c r="T84" i="3" s="1"/>
  <c r="E25" i="4"/>
  <c r="D37" i="4"/>
  <c r="E7" i="4" l="1"/>
  <c r="F7" i="4" s="1"/>
  <c r="E7" i="7" s="1"/>
  <c r="G7" i="4"/>
  <c r="T42" i="3"/>
  <c r="G30" i="7" s="1"/>
  <c r="Q42" i="3"/>
  <c r="E30" i="7" s="1"/>
  <c r="T35" i="3"/>
  <c r="W34" i="3" s="1"/>
  <c r="F11" i="4"/>
  <c r="G7" i="7" s="1"/>
  <c r="G53" i="7"/>
  <c r="C26" i="5"/>
  <c r="E21" i="7"/>
  <c r="L4" i="2"/>
  <c r="C13" i="3" s="1"/>
  <c r="M86" i="3"/>
  <c r="L86" i="3"/>
  <c r="K86" i="3"/>
  <c r="J86" i="3"/>
  <c r="C34" i="5" l="1"/>
  <c r="G9" i="7" s="1"/>
  <c r="D27" i="4"/>
  <c r="D29" i="4" s="1"/>
  <c r="Q34" i="3" s="1"/>
  <c r="K13" i="2"/>
  <c r="C66" i="7" s="1"/>
  <c r="C68" i="3"/>
  <c r="C126" i="3"/>
  <c r="Q145" i="3" l="1"/>
  <c r="Q144" i="3"/>
  <c r="T145" i="3"/>
  <c r="T144" i="3"/>
  <c r="G28" i="7"/>
  <c r="E28" i="7" s="1"/>
  <c r="D41" i="4"/>
  <c r="T34" i="3" s="1"/>
  <c r="W33" i="3" s="1"/>
  <c r="C71" i="3" l="1"/>
  <c r="F24" i="2"/>
  <c r="C17" i="3" s="1"/>
  <c r="C87" i="3" l="1"/>
  <c r="C86" i="3"/>
  <c r="E102" i="3"/>
  <c r="D103" i="3"/>
  <c r="D102" i="3"/>
  <c r="C103" i="3"/>
  <c r="D87" i="3"/>
  <c r="D86" i="3"/>
  <c r="C102" i="3"/>
  <c r="C48" i="3"/>
  <c r="F87" i="3"/>
  <c r="F103" i="3"/>
  <c r="F86" i="3"/>
  <c r="F102" i="3"/>
  <c r="E87" i="3"/>
  <c r="E103" i="3"/>
  <c r="E86" i="3"/>
  <c r="F11" i="2"/>
  <c r="G37" i="7" s="1"/>
  <c r="F10" i="2"/>
  <c r="C128" i="3"/>
  <c r="E41" i="7" l="1"/>
  <c r="E42" i="7"/>
  <c r="G41" i="7"/>
  <c r="G42" i="7"/>
  <c r="Q137" i="3"/>
  <c r="T137" i="3"/>
  <c r="C164" i="3"/>
  <c r="C146" i="3"/>
  <c r="D146" i="3"/>
  <c r="C151" i="3"/>
  <c r="C159" i="3"/>
  <c r="E164" i="3"/>
  <c r="C72" i="3"/>
  <c r="D105" i="3" s="1"/>
  <c r="C66" i="3"/>
  <c r="C16" i="3"/>
  <c r="Q136" i="3" l="1"/>
  <c r="Q141" i="3" s="1"/>
  <c r="J36" i="3"/>
  <c r="C37" i="3"/>
  <c r="C39" i="3" s="1"/>
  <c r="C51" i="3"/>
  <c r="D89" i="3"/>
  <c r="C89" i="3"/>
  <c r="F89" i="3"/>
  <c r="F91" i="3" s="1"/>
  <c r="F92" i="3" s="1"/>
  <c r="E89" i="3"/>
  <c r="E91" i="3" s="1"/>
  <c r="J88" i="3"/>
  <c r="J89" i="3" s="1"/>
  <c r="J91" i="3" s="1"/>
  <c r="C105" i="3"/>
  <c r="F105" i="3"/>
  <c r="F106" i="3" s="1"/>
  <c r="F107" i="3" s="1"/>
  <c r="K88" i="3"/>
  <c r="M88" i="3"/>
  <c r="E105" i="3"/>
  <c r="E106" i="3" s="1"/>
  <c r="L88" i="3"/>
  <c r="L89" i="3" s="1"/>
  <c r="L91" i="3" s="1"/>
  <c r="K109" i="3"/>
  <c r="L109" i="3"/>
  <c r="M109" i="3"/>
  <c r="M110" i="3" s="1"/>
  <c r="M112" i="3" s="1"/>
  <c r="J109" i="3"/>
  <c r="F37" i="3"/>
  <c r="E37" i="3"/>
  <c r="E39" i="3" s="1"/>
  <c r="D37" i="3"/>
  <c r="F51" i="3"/>
  <c r="M52" i="3"/>
  <c r="L52" i="3"/>
  <c r="L53" i="3" s="1"/>
  <c r="K52" i="3"/>
  <c r="K53" i="3" s="1"/>
  <c r="E51" i="3"/>
  <c r="K36" i="3"/>
  <c r="L36" i="3"/>
  <c r="M36" i="3"/>
  <c r="M39" i="3" s="1"/>
  <c r="D51" i="3"/>
  <c r="D53" i="3" s="1"/>
  <c r="J52" i="3"/>
  <c r="J53" i="3" s="1"/>
  <c r="J55" i="3" s="1"/>
  <c r="Q41" i="3" l="1"/>
  <c r="E29" i="7" s="1"/>
  <c r="D39" i="3"/>
  <c r="D40" i="3" s="1"/>
  <c r="Q31" i="3" s="1"/>
  <c r="D106" i="3"/>
  <c r="D107" i="3" s="1"/>
  <c r="T81" i="3" s="1"/>
  <c r="T89" i="3"/>
  <c r="G35" i="7" s="1"/>
  <c r="D54" i="3"/>
  <c r="T41" i="3"/>
  <c r="G29" i="7" s="1"/>
  <c r="D91" i="3"/>
  <c r="D92" i="3" s="1"/>
  <c r="Q81" i="3" s="1"/>
  <c r="Q89" i="3"/>
  <c r="E35" i="7" s="1"/>
  <c r="E53" i="3"/>
  <c r="E54" i="3" s="1"/>
  <c r="F39" i="3"/>
  <c r="F40" i="3" s="1"/>
  <c r="C53" i="3"/>
  <c r="C54" i="3" s="1"/>
  <c r="F53" i="3"/>
  <c r="F54" i="3" s="1"/>
  <c r="M53" i="3"/>
  <c r="M55" i="3" s="1"/>
  <c r="L39" i="3"/>
  <c r="L55" i="3"/>
  <c r="J39" i="3"/>
  <c r="K39" i="3"/>
  <c r="Q32" i="3" s="1"/>
  <c r="C40" i="3"/>
  <c r="K55" i="3"/>
  <c r="T32" i="3" s="1"/>
  <c r="K89" i="3"/>
  <c r="K91" i="3" s="1"/>
  <c r="Q82" i="3" s="1"/>
  <c r="C106" i="3"/>
  <c r="C107" i="3" s="1"/>
  <c r="C91" i="3"/>
  <c r="C92" i="3" s="1"/>
  <c r="K110" i="3"/>
  <c r="K112" i="3" s="1"/>
  <c r="T82" i="3" s="1"/>
  <c r="J110" i="3"/>
  <c r="J112" i="3" s="1"/>
  <c r="L110" i="3"/>
  <c r="L112" i="3" s="1"/>
  <c r="M89" i="3"/>
  <c r="M91" i="3" s="1"/>
  <c r="E40" i="3"/>
  <c r="E146" i="3"/>
  <c r="F146" i="3"/>
  <c r="E107" i="3"/>
  <c r="E92" i="3"/>
  <c r="F159" i="3"/>
  <c r="D159" i="3"/>
  <c r="T136" i="3" s="1"/>
  <c r="E159" i="3"/>
  <c r="F151" i="3"/>
  <c r="D164" i="3"/>
  <c r="E151" i="3"/>
  <c r="D151" i="3"/>
  <c r="F164" i="3"/>
  <c r="T85" i="3" l="1"/>
  <c r="Q37" i="3"/>
  <c r="W32" i="3"/>
  <c r="W35" i="3" s="1"/>
  <c r="Q85" i="3"/>
  <c r="E71" i="6"/>
  <c r="T37" i="3" l="1"/>
  <c r="T141" i="3"/>
  <c r="I21" i="6"/>
  <c r="I22" i="6"/>
  <c r="I23" i="6"/>
  <c r="I29" i="6"/>
  <c r="I30" i="6"/>
  <c r="I31" i="6"/>
  <c r="I32" i="6"/>
  <c r="I33" i="6"/>
  <c r="I34" i="6"/>
  <c r="I35" i="6"/>
  <c r="I36" i="6"/>
  <c r="I37" i="6"/>
  <c r="I38" i="6"/>
  <c r="I20" i="6"/>
  <c r="J24" i="6"/>
  <c r="J25" i="6"/>
  <c r="J26" i="6"/>
  <c r="J27" i="6"/>
  <c r="J28" i="6"/>
  <c r="J29" i="6"/>
  <c r="J30" i="6"/>
  <c r="J31" i="6"/>
  <c r="J32" i="6"/>
  <c r="J33" i="6"/>
  <c r="J34" i="6"/>
  <c r="K34" i="6" s="1"/>
  <c r="J35" i="6"/>
  <c r="J36" i="6"/>
  <c r="J37" i="6"/>
  <c r="J38" i="6"/>
  <c r="H21" i="6"/>
  <c r="J21" i="6" s="1"/>
  <c r="H22" i="6"/>
  <c r="J22" i="6" s="1"/>
  <c r="H23" i="6"/>
  <c r="J23" i="6" s="1"/>
  <c r="H24" i="6"/>
  <c r="I24" i="6" s="1"/>
  <c r="H25" i="6"/>
  <c r="I25" i="6" s="1"/>
  <c r="H26" i="6"/>
  <c r="I26" i="6" s="1"/>
  <c r="H27" i="6"/>
  <c r="I27" i="6" s="1"/>
  <c r="H28" i="6"/>
  <c r="I28" i="6" s="1"/>
  <c r="H20" i="6"/>
  <c r="J20" i="6" s="1"/>
  <c r="D182" i="3" l="1"/>
  <c r="G6" i="7" s="1"/>
  <c r="K26" i="6"/>
  <c r="K36" i="6"/>
  <c r="K22" i="6"/>
  <c r="K35" i="6"/>
  <c r="K29" i="6"/>
  <c r="K32" i="6"/>
  <c r="K33" i="6"/>
  <c r="K24" i="6"/>
  <c r="K28" i="6"/>
  <c r="K37" i="6"/>
  <c r="K21" i="6"/>
  <c r="K23" i="6"/>
  <c r="K38" i="6"/>
  <c r="K31" i="6"/>
  <c r="K30" i="6"/>
  <c r="K20" i="6"/>
  <c r="K25" i="6"/>
  <c r="J39" i="6"/>
  <c r="K27" i="6"/>
  <c r="I39" i="6"/>
  <c r="L28" i="6" l="1"/>
  <c r="I40" i="6"/>
  <c r="L21" i="6"/>
  <c r="N21" i="6" s="1"/>
  <c r="M30" i="6"/>
  <c r="O30" i="6" s="1"/>
  <c r="M36" i="6"/>
  <c r="O36" i="6" s="1"/>
  <c r="M21" i="6"/>
  <c r="O21" i="6" s="1"/>
  <c r="L33" i="6"/>
  <c r="N33" i="6" s="1"/>
  <c r="L30" i="6"/>
  <c r="N30" i="6" s="1"/>
  <c r="M25" i="6"/>
  <c r="O25" i="6" s="1"/>
  <c r="L23" i="6"/>
  <c r="N23" i="6" s="1"/>
  <c r="L22" i="6"/>
  <c r="N22" i="6" s="1"/>
  <c r="M34" i="6"/>
  <c r="O34" i="6" s="1"/>
  <c r="M22" i="6"/>
  <c r="O22" i="6" s="1"/>
  <c r="L31" i="6"/>
  <c r="N31" i="6" s="1"/>
  <c r="M37" i="6"/>
  <c r="O37" i="6" s="1"/>
  <c r="M26" i="6"/>
  <c r="O26" i="6" s="1"/>
  <c r="L34" i="6"/>
  <c r="N34" i="6" s="1"/>
  <c r="L29" i="6"/>
  <c r="N29" i="6" s="1"/>
  <c r="M35" i="6"/>
  <c r="O35" i="6" s="1"/>
  <c r="M31" i="6"/>
  <c r="O31" i="6" s="1"/>
  <c r="M20" i="6"/>
  <c r="O20" i="6" s="1"/>
  <c r="L36" i="6"/>
  <c r="N36" i="6" s="1"/>
  <c r="L32" i="6"/>
  <c r="N32" i="6" s="1"/>
  <c r="M28" i="6"/>
  <c r="O28" i="6" s="1"/>
  <c r="L37" i="6"/>
  <c r="N37" i="6" s="1"/>
  <c r="M33" i="6"/>
  <c r="O33" i="6" s="1"/>
  <c r="M23" i="6"/>
  <c r="O23" i="6" s="1"/>
  <c r="L20" i="6"/>
  <c r="N20" i="6" s="1"/>
  <c r="M32" i="6"/>
  <c r="O32" i="6" s="1"/>
  <c r="L35" i="6"/>
  <c r="N35" i="6" s="1"/>
  <c r="M29" i="6"/>
  <c r="O29" i="6" s="1"/>
  <c r="L38" i="6"/>
  <c r="N38" i="6" s="1"/>
  <c r="M38" i="6"/>
  <c r="O38" i="6" s="1"/>
  <c r="M27" i="6"/>
  <c r="O27" i="6" s="1"/>
  <c r="M24" i="6"/>
  <c r="O24" i="6" s="1"/>
  <c r="O39" i="6" l="1"/>
  <c r="M39" i="6"/>
  <c r="F39" i="6" l="1"/>
  <c r="L27" i="6"/>
  <c r="N27" i="6" s="1"/>
  <c r="L26" i="6" l="1"/>
  <c r="N26" i="6" s="1"/>
  <c r="N28" i="6"/>
  <c r="L25" i="6"/>
  <c r="N25" i="6" s="1"/>
  <c r="L24" i="6"/>
  <c r="N24" i="6" s="1"/>
  <c r="E5" i="6"/>
  <c r="E6" i="6" s="1"/>
  <c r="G48" i="7" s="1"/>
  <c r="H100" i="6" l="1"/>
  <c r="H117" i="6"/>
  <c r="H105" i="6"/>
  <c r="H113" i="6"/>
  <c r="H104" i="6"/>
  <c r="H112" i="6"/>
  <c r="H103" i="6"/>
  <c r="H111" i="6"/>
  <c r="H102" i="6"/>
  <c r="H110" i="6"/>
  <c r="H101" i="6"/>
  <c r="H109" i="6"/>
  <c r="H106" i="6"/>
  <c r="H108" i="6"/>
  <c r="H116" i="6"/>
  <c r="H107" i="6"/>
  <c r="H115" i="6"/>
  <c r="H114" i="6"/>
  <c r="E59" i="6"/>
  <c r="N39" i="6"/>
  <c r="L39" i="6"/>
  <c r="L40" i="6" s="1"/>
  <c r="E77" i="6" l="1"/>
  <c r="E60" i="6"/>
  <c r="E78" i="6" s="1"/>
  <c r="I107" i="6"/>
  <c r="I112" i="6"/>
  <c r="I110" i="6"/>
  <c r="I101" i="6"/>
  <c r="I113" i="6"/>
  <c r="I109" i="6"/>
  <c r="I102" i="6"/>
  <c r="I103" i="6"/>
  <c r="I108" i="6"/>
  <c r="I115" i="6"/>
  <c r="I104" i="6"/>
  <c r="I117" i="6"/>
  <c r="I106" i="6"/>
  <c r="I116" i="6"/>
  <c r="I111" i="6"/>
  <c r="I114" i="6"/>
  <c r="I100" i="6"/>
  <c r="I105" i="6"/>
  <c r="E54" i="6" l="1"/>
  <c r="C74" i="6" l="1"/>
  <c r="D74" i="6" s="1"/>
  <c r="E74" i="6" s="1"/>
  <c r="E79" i="6" s="1"/>
  <c r="E13" i="6" s="1"/>
  <c r="G8" i="7" l="1"/>
  <c r="E11" i="6"/>
  <c r="C182" i="3"/>
  <c r="E6" i="7" s="1"/>
  <c r="E8" i="7" l="1"/>
  <c r="E12" i="7" s="1"/>
  <c r="E13" i="7" s="1"/>
  <c r="G12" i="7"/>
  <c r="K6" i="7" l="1"/>
  <c r="K10" i="7"/>
  <c r="G13" i="7"/>
</calcChain>
</file>

<file path=xl/comments1.xml><?xml version="1.0" encoding="utf-8"?>
<comments xmlns="http://schemas.openxmlformats.org/spreadsheetml/2006/main">
  <authors>
    <author>User</author>
  </authors>
  <commentList>
    <comment ref="D5" authorId="0" shapeId="0">
      <text>
        <r>
          <rPr>
            <b/>
            <sz val="9"/>
            <color indexed="81"/>
            <rFont val="Tahoma"/>
            <family val="2"/>
            <charset val="161"/>
          </rPr>
          <t>User:</t>
        </r>
        <r>
          <rPr>
            <sz val="9"/>
            <color indexed="81"/>
            <rFont val="Tahoma"/>
            <family val="2"/>
            <charset val="161"/>
          </rPr>
          <t xml:space="preserve">
1 - Austria 
2- Bulgaria 
3- France
4- Germany
5- Greece
6- Netherlands 
7- Spain </t>
        </r>
      </text>
    </comment>
    <comment ref="B6" authorId="0" shapeId="0">
      <text>
        <r>
          <rPr>
            <b/>
            <sz val="9"/>
            <color indexed="81"/>
            <rFont val="Tahoma"/>
            <family val="2"/>
            <charset val="161"/>
          </rPr>
          <t>User:</t>
        </r>
        <r>
          <rPr>
            <sz val="9"/>
            <color indexed="81"/>
            <rFont val="Tahoma"/>
            <family val="2"/>
            <charset val="161"/>
          </rPr>
          <t xml:space="preserve">
A- Heraklion, Chania, Rethymno, Lasithi, Cyclades, Dodecanese, Samos,
Messinia, Laconia, Argolis, Zakynthos, Cephalonia and Ithaca, Kythira and Saronic Islands (Attica), Arcadia (lowland)
B- Attica (except Kythera and Saronic Islands), Corinth, Ilia, Achaia, Aitoloakarnania, Fthiotida, Phocis, Boeotia, Evia, Magnesia, Lesbos, Chios, Corfu, Lefkada, Thesprotia, Preveza, Arta
C- Arcadia (mountain), Evrytania, Ioannina, Larissa, Karditsa, Trikala, Pieria, Imathia, Pella, Thessaloniki, Kilkis, Halkidiki, Serres (outside NE part), Kavala, Xanthi, Rhodope,
Evros
D- Grevena, Kozani, Kastoria, Florina, Serres (NE part), Drama</t>
        </r>
      </text>
    </comment>
    <comment ref="D6" authorId="0" shapeId="0">
      <text>
        <r>
          <rPr>
            <b/>
            <sz val="9"/>
            <color indexed="81"/>
            <rFont val="Tahoma"/>
            <family val="2"/>
            <charset val="161"/>
          </rPr>
          <t>User:</t>
        </r>
        <r>
          <rPr>
            <sz val="9"/>
            <color indexed="81"/>
            <rFont val="Tahoma"/>
            <family val="2"/>
            <charset val="161"/>
          </rPr>
          <t xml:space="preserve">
Α- Ηρακλείου, Χανίων, Ρεθύμνου, Λασιθίου, Κυκλάδων, Δωδεκανήσου, Σάμου,
Μεσσηνίας, Λακωνίας, Αργολίδας, Ζακύνθου, Κεφαλληνίας και Ιθάκης, Κύθηρα και νησιά Σαρωνικού (Αττικής), Αρκαδίας (πεδινή)
Β- Αττικής (εκτός Κυθήρων και νησιών Σαρωνικού), Κορινθίας, Ηλείας, Αχαΐας, Αιτωλοακαρνανίας, Φθιώτιδας, Φωκίδας, Βοιωτίας, Ευβοίας, Μαγνησίας, Λέσβου, Χίου, Κέρκυρας, Λευκάδας, Θεσπρωτίας, Πρέβεζας, Άρτας
Γ- Αρκαδίας (ορεινή), Ευρυτανίας, Ιωαννίνων, Λάρισας, Καρδίτσας, Τρικάλων, Πιερίας, Ημαθίας, Πέλλας, Θεσσαλονίκης, Κιλκίς, Χαλκιδικής, Σερρών (εκτός ΒΑ τμήματος), Καβάλας, Ξάνθης, Ροδόπης,
Έβρου
Δ-  Γρεβενών, Κοζάνης, Καστοριάς, Φλώρινας, Σερρών (ΒΑ τμήμα), Δράμας</t>
        </r>
      </text>
    </comment>
    <comment ref="E9" authorId="0" shapeId="0">
      <text>
        <r>
          <rPr>
            <b/>
            <sz val="9"/>
            <color indexed="81"/>
            <rFont val="Tahoma"/>
            <family val="2"/>
            <charset val="161"/>
          </rPr>
          <t>User:</t>
        </r>
        <r>
          <rPr>
            <sz val="9"/>
            <color indexed="81"/>
            <rFont val="Tahoma"/>
            <family val="2"/>
            <charset val="161"/>
          </rPr>
          <t xml:space="preserve">
Έστω για το πχ ένα τετράγωνο σπίτι 150 m2 ύψους 2.9 m</t>
        </r>
      </text>
    </comment>
    <comment ref="B10" authorId="0" shapeId="0">
      <text>
        <r>
          <rPr>
            <b/>
            <sz val="9"/>
            <color indexed="81"/>
            <rFont val="Tahoma"/>
            <family val="2"/>
            <charset val="161"/>
          </rPr>
          <t>User:</t>
        </r>
        <r>
          <rPr>
            <sz val="9"/>
            <color indexed="81"/>
            <rFont val="Tahoma"/>
            <family val="2"/>
            <charset val="161"/>
          </rPr>
          <t xml:space="preserve">
1 - Concrete
2 - Wood 
</t>
        </r>
      </text>
    </comment>
    <comment ref="C10" authorId="0" shapeId="0">
      <text>
        <r>
          <rPr>
            <b/>
            <sz val="9"/>
            <color indexed="81"/>
            <rFont val="Tahoma"/>
            <family val="2"/>
            <charset val="161"/>
          </rPr>
          <t>User:</t>
        </r>
        <r>
          <rPr>
            <sz val="9"/>
            <color indexed="81"/>
            <rFont val="Tahoma"/>
            <family val="2"/>
            <charset val="161"/>
          </rPr>
          <t xml:space="preserve">
1- Μπετό - Τούβλο 
2- Ξύλο 
</t>
        </r>
      </text>
    </comment>
    <comment ref="J10" authorId="0" shapeId="0">
      <text>
        <r>
          <rPr>
            <b/>
            <sz val="9"/>
            <color indexed="81"/>
            <rFont val="Tahoma"/>
            <family val="2"/>
            <charset val="161"/>
          </rPr>
          <t>User:</t>
        </r>
        <r>
          <rPr>
            <sz val="9"/>
            <color indexed="81"/>
            <rFont val="Tahoma"/>
            <family val="2"/>
            <charset val="161"/>
          </rPr>
          <t xml:space="preserve">
Θα υπολογιστεί προσεγγιστικά: Έστω παράθυρο με πλευρές 1.5*1.5
</t>
        </r>
      </text>
    </comment>
    <comment ref="B11" authorId="0" shapeId="0">
      <text>
        <r>
          <rPr>
            <b/>
            <sz val="9"/>
            <color indexed="81"/>
            <rFont val="Tahoma"/>
            <family val="2"/>
            <charset val="161"/>
          </rPr>
          <t>User:</t>
        </r>
        <r>
          <rPr>
            <sz val="9"/>
            <color indexed="81"/>
            <rFont val="Tahoma"/>
            <family val="2"/>
            <charset val="161"/>
          </rPr>
          <t xml:space="preserve">
1 - Concrete
2 - Wood</t>
        </r>
      </text>
    </comment>
    <comment ref="C11" authorId="0" shapeId="0">
      <text>
        <r>
          <rPr>
            <b/>
            <sz val="9"/>
            <color indexed="81"/>
            <rFont val="Tahoma"/>
            <family val="2"/>
            <charset val="161"/>
          </rPr>
          <t>User:</t>
        </r>
        <r>
          <rPr>
            <sz val="9"/>
            <color indexed="81"/>
            <rFont val="Tahoma"/>
            <family val="2"/>
            <charset val="161"/>
          </rPr>
          <t xml:space="preserve">
1- Μπετό 
2- Ξύλο 
</t>
        </r>
      </text>
    </comment>
    <comment ref="J11" authorId="0" shapeId="0">
      <text>
        <r>
          <rPr>
            <b/>
            <sz val="9"/>
            <color indexed="81"/>
            <rFont val="Tahoma"/>
            <family val="2"/>
            <charset val="161"/>
          </rPr>
          <t>User:</t>
        </r>
        <r>
          <rPr>
            <sz val="9"/>
            <color indexed="81"/>
            <rFont val="Tahoma"/>
            <family val="2"/>
            <charset val="161"/>
          </rPr>
          <t xml:space="preserve">
Προσεγγιστικά. Έστω ότι οι πλευρές τους είναι 2*1.5
</t>
        </r>
      </text>
    </comment>
    <comment ref="J12" authorId="0" shapeId="0">
      <text>
        <r>
          <rPr>
            <b/>
            <sz val="9"/>
            <color indexed="81"/>
            <rFont val="Tahoma"/>
            <family val="2"/>
            <charset val="161"/>
          </rPr>
          <t>User:</t>
        </r>
        <r>
          <rPr>
            <sz val="9"/>
            <color indexed="81"/>
            <rFont val="Tahoma"/>
            <family val="2"/>
            <charset val="161"/>
          </rPr>
          <t xml:space="preserve">
Ο χρήστης δίνει ή το πλήθος των μπαλκονιών και το καθένα θα είναι έστω 1.5*3 [m] ή θα δίνει το συνολικό μήκος των μπαλκονιών και έστω ότι το πλάτος τους είναι 1.5 m </t>
        </r>
      </text>
    </comment>
    <comment ref="C14" authorId="0" shapeId="0">
      <text>
        <r>
          <rPr>
            <b/>
            <sz val="9"/>
            <color indexed="81"/>
            <rFont val="Tahoma"/>
            <family val="2"/>
            <charset val="161"/>
          </rPr>
          <t>User:</t>
        </r>
        <r>
          <rPr>
            <sz val="9"/>
            <color indexed="81"/>
            <rFont val="Tahoma"/>
            <family val="2"/>
            <charset val="161"/>
          </rPr>
          <t xml:space="preserve">
Αν το μήκος τους μπει συνολικά δεν χρειάζεται</t>
        </r>
      </text>
    </comment>
    <comment ref="J14" authorId="0" shapeId="0">
      <text>
        <r>
          <rPr>
            <b/>
            <sz val="9"/>
            <color indexed="81"/>
            <rFont val="Tahoma"/>
            <family val="2"/>
            <charset val="161"/>
          </rPr>
          <t>User:</t>
        </r>
        <r>
          <rPr>
            <sz val="9"/>
            <color indexed="81"/>
            <rFont val="Tahoma"/>
            <family val="2"/>
            <charset val="161"/>
          </rPr>
          <t xml:space="preserve">
Έστω ότι το στηθαίο έχει 0.5 m ύψος </t>
        </r>
      </text>
    </comment>
    <comment ref="J15" authorId="0" shapeId="0">
      <text>
        <r>
          <rPr>
            <b/>
            <sz val="9"/>
            <color indexed="81"/>
            <rFont val="Tahoma"/>
            <family val="2"/>
            <charset val="161"/>
          </rPr>
          <t>User:</t>
        </r>
        <r>
          <rPr>
            <sz val="9"/>
            <color indexed="81"/>
            <rFont val="Tahoma"/>
            <family val="2"/>
            <charset val="161"/>
          </rPr>
          <t xml:space="preserve">
Έστω ότι έχει πάχος 0.1m
</t>
        </r>
      </text>
    </comment>
    <comment ref="B16" authorId="0" shapeId="0">
      <text>
        <r>
          <rPr>
            <b/>
            <sz val="9"/>
            <color indexed="81"/>
            <rFont val="Tahoma"/>
            <family val="2"/>
            <charset val="161"/>
          </rPr>
          <t>User:
1- Apartment
2- House</t>
        </r>
      </text>
    </comment>
    <comment ref="B17" authorId="0" shapeId="0">
      <text>
        <r>
          <rPr>
            <b/>
            <sz val="9"/>
            <color indexed="81"/>
            <rFont val="Tahoma"/>
            <family val="2"/>
            <charset val="161"/>
          </rPr>
          <t>User:</t>
        </r>
        <r>
          <rPr>
            <sz val="9"/>
            <color indexed="81"/>
            <rFont val="Tahoma"/>
            <family val="2"/>
            <charset val="161"/>
          </rPr>
          <t xml:space="preserve">
1- First floor
2-Last Floor 
3- Intermediate
If it is a single family house don't enter a value</t>
        </r>
      </text>
    </comment>
    <comment ref="B18" authorId="0" shapeId="0">
      <text>
        <r>
          <rPr>
            <b/>
            <sz val="9"/>
            <color indexed="81"/>
            <rFont val="Tahoma"/>
            <family val="2"/>
            <charset val="161"/>
          </rPr>
          <t>User:</t>
        </r>
        <r>
          <rPr>
            <sz val="9"/>
            <color indexed="81"/>
            <rFont val="Tahoma"/>
            <family val="2"/>
            <charset val="161"/>
          </rPr>
          <t xml:space="preserve">
e.g. neighbour, stairs, detached house 
If insulation is installed at walls that are bordered with ventilated spaces, enter 0.</t>
        </r>
      </text>
    </comment>
    <comment ref="C18" authorId="0" shapeId="0">
      <text>
        <r>
          <rPr>
            <b/>
            <sz val="9"/>
            <color indexed="81"/>
            <rFont val="Tahoma"/>
            <family val="2"/>
            <charset val="161"/>
          </rPr>
          <t>User:</t>
        </r>
        <r>
          <rPr>
            <sz val="9"/>
            <color indexed="81"/>
            <rFont val="Tahoma"/>
            <family val="2"/>
            <charset val="161"/>
          </rPr>
          <t xml:space="preserve">
ΔΕΣ: πλευρά που βλέπει σε σκάλες ;;;</t>
        </r>
      </text>
    </comment>
    <comment ref="B20" authorId="0" shapeId="0">
      <text>
        <r>
          <rPr>
            <sz val="9"/>
            <color indexed="81"/>
            <rFont val="Tahoma"/>
            <family val="2"/>
            <charset val="161"/>
          </rPr>
          <t>Internal insulation is installed in cases where external insulation can't be installed. 
If some walls have external insulation and other internal enter 3, and the percentage of the analogy in the following cell where asked.</t>
        </r>
      </text>
    </comment>
    <comment ref="B21" authorId="0" shapeId="0">
      <text>
        <r>
          <rPr>
            <sz val="9"/>
            <color indexed="81"/>
            <rFont val="Tahoma"/>
            <family val="2"/>
            <charset val="161"/>
          </rPr>
          <t>Internal insulation is installed in cases where external insulation can't be installed. 
If some part of the roof has external insulation and other internal insulation enter 3, and the percentage of the analogy in the following cell where asked.</t>
        </r>
      </text>
    </comment>
    <comment ref="B24" authorId="0" shapeId="0">
      <text>
        <r>
          <rPr>
            <b/>
            <sz val="9"/>
            <color indexed="81"/>
            <rFont val="Tahoma"/>
            <family val="2"/>
            <charset val="161"/>
          </rPr>
          <t>User:</t>
        </r>
        <r>
          <rPr>
            <sz val="9"/>
            <color indexed="81"/>
            <rFont val="Tahoma"/>
            <family val="2"/>
            <charset val="161"/>
          </rPr>
          <t xml:space="preserve">
The exiting insulation will stay and be taken into account at the calculations. </t>
        </r>
      </text>
    </comment>
    <comment ref="B25" authorId="0" shapeId="0">
      <text>
        <r>
          <rPr>
            <b/>
            <sz val="9"/>
            <color indexed="81"/>
            <rFont val="Tahoma"/>
            <family val="2"/>
            <charset val="161"/>
          </rPr>
          <t>User:</t>
        </r>
        <r>
          <rPr>
            <sz val="9"/>
            <color indexed="81"/>
            <rFont val="Tahoma"/>
            <family val="2"/>
            <charset val="161"/>
          </rPr>
          <t xml:space="preserve">
The exiting insulation will stay and be taken into account at the calculations. </t>
        </r>
      </text>
    </comment>
    <comment ref="B30" authorId="0" shapeId="0">
      <text>
        <r>
          <rPr>
            <b/>
            <sz val="9"/>
            <color indexed="81"/>
            <rFont val="Tahoma"/>
            <family val="2"/>
            <charset val="161"/>
          </rPr>
          <t>User:</t>
        </r>
        <r>
          <rPr>
            <sz val="9"/>
            <color indexed="81"/>
            <rFont val="Tahoma"/>
            <family val="2"/>
            <charset val="161"/>
          </rPr>
          <t xml:space="preserve">
Living room, bedrooms, office, dining room etc </t>
        </r>
      </text>
    </comment>
    <comment ref="C30" authorId="0" shapeId="0">
      <text>
        <r>
          <rPr>
            <b/>
            <sz val="9"/>
            <color indexed="81"/>
            <rFont val="Tahoma"/>
            <family val="2"/>
            <charset val="161"/>
          </rPr>
          <t>User:</t>
        </r>
        <r>
          <rPr>
            <sz val="9"/>
            <color indexed="81"/>
            <rFont val="Tahoma"/>
            <family val="2"/>
            <charset val="161"/>
          </rPr>
          <t xml:space="preserve">
Υπνοδωμάτια, σαλόνι καθιστικό γραφείο </t>
        </r>
      </text>
    </comment>
    <comment ref="B31" authorId="0" shapeId="0">
      <text>
        <r>
          <rPr>
            <b/>
            <sz val="9"/>
            <color indexed="81"/>
            <rFont val="Tahoma"/>
            <family val="2"/>
            <charset val="161"/>
          </rPr>
          <t>User:</t>
        </r>
        <r>
          <rPr>
            <sz val="9"/>
            <color indexed="81"/>
            <rFont val="Tahoma"/>
            <family val="2"/>
            <charset val="161"/>
          </rPr>
          <t xml:space="preserve">
Bathrooms, kitchen, storeroom</t>
        </r>
      </text>
    </comment>
    <comment ref="C31" authorId="0" shapeId="0">
      <text>
        <r>
          <rPr>
            <b/>
            <sz val="9"/>
            <color indexed="81"/>
            <rFont val="Tahoma"/>
            <family val="2"/>
            <charset val="161"/>
          </rPr>
          <t>User:</t>
        </r>
        <r>
          <rPr>
            <sz val="9"/>
            <color indexed="81"/>
            <rFont val="Tahoma"/>
            <family val="2"/>
            <charset val="161"/>
          </rPr>
          <t xml:space="preserve">
Κουζίνα μπάνια αποθήκη </t>
        </r>
      </text>
    </comment>
    <comment ref="B33" authorId="0" shapeId="0">
      <text>
        <r>
          <rPr>
            <b/>
            <sz val="9"/>
            <color indexed="81"/>
            <rFont val="Tahoma"/>
            <family val="2"/>
            <charset val="161"/>
          </rPr>
          <t>User:</t>
        </r>
        <r>
          <rPr>
            <sz val="9"/>
            <color indexed="81"/>
            <rFont val="Tahoma"/>
            <family val="2"/>
            <charset val="161"/>
          </rPr>
          <t xml:space="preserve">
the exiting AC will not be replaced, if otherwise, enter 0.</t>
        </r>
      </text>
    </comment>
    <comment ref="B34" authorId="0" shapeId="0">
      <text>
        <r>
          <rPr>
            <b/>
            <sz val="9"/>
            <color indexed="81"/>
            <rFont val="Tahoma"/>
            <family val="2"/>
            <charset val="161"/>
          </rPr>
          <t>User:</t>
        </r>
        <r>
          <rPr>
            <sz val="9"/>
            <color indexed="81"/>
            <rFont val="Tahoma"/>
            <family val="2"/>
            <charset val="161"/>
          </rPr>
          <t xml:space="preserve">
the exiting solar water heater will not be replaced, if otherwise, enter 0.</t>
        </r>
      </text>
    </comment>
    <comment ref="B35" authorId="0" shapeId="0">
      <text>
        <r>
          <rPr>
            <b/>
            <sz val="9"/>
            <color indexed="81"/>
            <rFont val="Tahoma"/>
            <family val="2"/>
            <charset val="161"/>
          </rPr>
          <t>User:</t>
        </r>
        <r>
          <rPr>
            <sz val="9"/>
            <color indexed="81"/>
            <rFont val="Tahoma"/>
            <family val="2"/>
            <charset val="161"/>
          </rPr>
          <t xml:space="preserve">
e.g.
100% - all the roof will be insulated 
</t>
        </r>
      </text>
    </comment>
    <comment ref="B36" authorId="0" shapeId="0">
      <text>
        <r>
          <rPr>
            <b/>
            <sz val="9"/>
            <color indexed="81"/>
            <rFont val="Tahoma"/>
            <family val="2"/>
            <charset val="161"/>
          </rPr>
          <t>User:</t>
        </r>
        <r>
          <rPr>
            <sz val="9"/>
            <color indexed="81"/>
            <rFont val="Tahoma"/>
            <family val="2"/>
            <charset val="161"/>
          </rPr>
          <t xml:space="preserve">
100% - only internal insulation 
0% - only external insulation
30% - 30% of the walls will have internal insulation and 70% of the walls will have external insulation. </t>
        </r>
      </text>
    </comment>
    <comment ref="B37" authorId="0" shapeId="0">
      <text>
        <r>
          <rPr>
            <b/>
            <sz val="9"/>
            <color indexed="81"/>
            <rFont val="Tahoma"/>
            <family val="2"/>
            <charset val="161"/>
          </rPr>
          <t>User:</t>
        </r>
        <r>
          <rPr>
            <sz val="9"/>
            <color indexed="81"/>
            <rFont val="Tahoma"/>
            <family val="2"/>
            <charset val="161"/>
          </rPr>
          <t xml:space="preserve">
100% - only internal insulation 
0% - only external insulation
30% - 30% of the roof will have internal insulation and 70% of the roof will have external insulation. </t>
        </r>
      </text>
    </comment>
    <comment ref="B38" authorId="0" shapeId="0">
      <text>
        <r>
          <rPr>
            <b/>
            <sz val="9"/>
            <color indexed="81"/>
            <rFont val="Tahoma"/>
            <family val="2"/>
            <charset val="161"/>
          </rPr>
          <t>User:</t>
        </r>
        <r>
          <rPr>
            <sz val="9"/>
            <color indexed="81"/>
            <rFont val="Tahoma"/>
            <family val="2"/>
            <charset val="161"/>
          </rPr>
          <t xml:space="preserve">
e.g.
100% - all the roof will be insulated </t>
        </r>
      </text>
    </comment>
    <comment ref="R45" authorId="0" shapeId="0">
      <text>
        <r>
          <rPr>
            <b/>
            <sz val="9"/>
            <color indexed="81"/>
            <rFont val="Tahoma"/>
            <family val="2"/>
            <charset val="161"/>
          </rPr>
          <t xml:space="preserve">All prices were calculated as 30% more than Greece </t>
        </r>
      </text>
    </comment>
    <comment ref="U45" authorId="0" shapeId="0">
      <text>
        <r>
          <rPr>
            <b/>
            <sz val="9"/>
            <color indexed="81"/>
            <rFont val="Tahoma"/>
            <family val="2"/>
            <charset val="161"/>
          </rPr>
          <t>Some prices were calculated as 35% more than Greece</t>
        </r>
      </text>
    </comment>
    <comment ref="B47" authorId="0" shapeId="0">
      <text>
        <r>
          <rPr>
            <sz val="9"/>
            <color indexed="81"/>
            <rFont val="Tahoma"/>
            <family val="2"/>
            <charset val="161"/>
          </rPr>
          <t>The thickness of insulation for a PH is automatically calculated.</t>
        </r>
      </text>
    </comment>
    <comment ref="B52" authorId="0" shapeId="0">
      <text>
        <r>
          <rPr>
            <b/>
            <sz val="9"/>
            <color indexed="81"/>
            <rFont val="Tahoma"/>
            <family val="2"/>
            <charset val="161"/>
          </rPr>
          <t>User:</t>
        </r>
        <r>
          <rPr>
            <sz val="9"/>
            <color indexed="81"/>
            <rFont val="Tahoma"/>
            <family val="2"/>
            <charset val="161"/>
          </rPr>
          <t xml:space="preserve">
Entering a value here will replace the values in cells D46-51
</t>
        </r>
      </text>
    </comment>
    <comment ref="Q52" authorId="0" shapeId="0">
      <text>
        <r>
          <rPr>
            <b/>
            <sz val="9"/>
            <color indexed="81"/>
            <rFont val="Tahoma"/>
            <family val="2"/>
            <charset val="161"/>
          </rPr>
          <t>User:</t>
        </r>
        <r>
          <rPr>
            <sz val="9"/>
            <color indexed="81"/>
            <rFont val="Tahoma"/>
            <family val="2"/>
            <charset val="161"/>
          </rPr>
          <t xml:space="preserve">
Entering a value here will replace the values in cells D46-51</t>
        </r>
      </text>
    </comment>
    <comment ref="B66" authorId="0" shapeId="0">
      <text>
        <r>
          <rPr>
            <b/>
            <sz val="9"/>
            <color indexed="81"/>
            <rFont val="Tahoma"/>
            <family val="2"/>
            <charset val="161"/>
          </rPr>
          <t>User:</t>
        </r>
        <r>
          <rPr>
            <sz val="9"/>
            <color indexed="81"/>
            <rFont val="Tahoma"/>
            <family val="2"/>
            <charset val="161"/>
          </rPr>
          <t xml:space="preserve">
Entering a value here will replace the values in cells D57-63 </t>
        </r>
      </text>
    </comment>
    <comment ref="Q66" authorId="0" shapeId="0">
      <text>
        <r>
          <rPr>
            <b/>
            <sz val="9"/>
            <color indexed="81"/>
            <rFont val="Tahoma"/>
            <family val="2"/>
            <charset val="161"/>
          </rPr>
          <t>User:</t>
        </r>
        <r>
          <rPr>
            <sz val="9"/>
            <color indexed="81"/>
            <rFont val="Tahoma"/>
            <family val="2"/>
            <charset val="161"/>
          </rPr>
          <t xml:space="preserve">
Entering a value here will replace the values in cells D57-63 </t>
        </r>
      </text>
    </comment>
    <comment ref="U66" authorId="0" shapeId="0">
      <text>
        <r>
          <rPr>
            <sz val="9"/>
            <color indexed="81"/>
            <rFont val="Tahoma"/>
            <family val="2"/>
            <charset val="161"/>
          </rPr>
          <t>for 156 m^2</t>
        </r>
      </text>
    </comment>
    <comment ref="B67" authorId="0" shapeId="0">
      <text>
        <r>
          <rPr>
            <b/>
            <sz val="9"/>
            <color indexed="81"/>
            <rFont val="Tahoma"/>
            <family val="2"/>
            <charset val="161"/>
          </rPr>
          <t>User:</t>
        </r>
        <r>
          <rPr>
            <sz val="9"/>
            <color indexed="81"/>
            <rFont val="Tahoma"/>
            <family val="2"/>
            <charset val="161"/>
          </rPr>
          <t xml:space="preserve">
Entering a value here will replace the values in cells D57-63 </t>
        </r>
      </text>
    </comment>
    <comment ref="Q67" authorId="0" shapeId="0">
      <text>
        <r>
          <rPr>
            <b/>
            <sz val="9"/>
            <color indexed="81"/>
            <rFont val="Tahoma"/>
            <family val="2"/>
            <charset val="161"/>
          </rPr>
          <t>User:</t>
        </r>
        <r>
          <rPr>
            <sz val="9"/>
            <color indexed="81"/>
            <rFont val="Tahoma"/>
            <family val="2"/>
            <charset val="161"/>
          </rPr>
          <t xml:space="preserve">
Entering a value here will replace the values in cells D57-63 </t>
        </r>
      </text>
    </comment>
    <comment ref="U67" authorId="0" shapeId="0">
      <text>
        <r>
          <rPr>
            <sz val="9"/>
            <color indexed="81"/>
            <rFont val="Tahoma"/>
            <family val="2"/>
            <charset val="161"/>
          </rPr>
          <t>for 156 m^2</t>
        </r>
      </text>
    </comment>
    <comment ref="X67" authorId="0" shapeId="0">
      <text>
        <r>
          <rPr>
            <sz val="9"/>
            <color indexed="81"/>
            <rFont val="Tahoma"/>
            <family val="2"/>
            <charset val="161"/>
          </rPr>
          <t>for an apartment 129.07 m^2</t>
        </r>
      </text>
    </comment>
    <comment ref="X74" authorId="0" shapeId="0">
      <text>
        <r>
          <rPr>
            <sz val="9"/>
            <color indexed="81"/>
            <rFont val="Tahoma"/>
            <family val="2"/>
            <charset val="161"/>
          </rPr>
          <t>distribution box and silencer</t>
        </r>
      </text>
    </comment>
    <comment ref="B82" authorId="0" shapeId="0">
      <text>
        <r>
          <rPr>
            <b/>
            <sz val="9"/>
            <color indexed="81"/>
            <rFont val="Tahoma"/>
            <family val="2"/>
            <charset val="161"/>
          </rPr>
          <t>User:</t>
        </r>
        <r>
          <rPr>
            <sz val="9"/>
            <color indexed="81"/>
            <rFont val="Tahoma"/>
            <family val="2"/>
            <charset val="161"/>
          </rPr>
          <t xml:space="preserve">
Entering a value here will replace the values in cells D69-77</t>
        </r>
      </text>
    </comment>
    <comment ref="Q82" authorId="0" shapeId="0">
      <text>
        <r>
          <rPr>
            <b/>
            <sz val="9"/>
            <color indexed="81"/>
            <rFont val="Tahoma"/>
            <family val="2"/>
            <charset val="161"/>
          </rPr>
          <t>User:</t>
        </r>
        <r>
          <rPr>
            <sz val="9"/>
            <color indexed="81"/>
            <rFont val="Tahoma"/>
            <family val="2"/>
            <charset val="161"/>
          </rPr>
          <t xml:space="preserve">
Entering a value here will replace the values in cells D69-77</t>
        </r>
      </text>
    </comment>
    <comment ref="U82" authorId="0" shapeId="0">
      <text>
        <r>
          <rPr>
            <sz val="9"/>
            <color indexed="81"/>
            <rFont val="Tahoma"/>
            <family val="2"/>
            <charset val="161"/>
          </rPr>
          <t xml:space="preserve">
for 156 m^2</t>
        </r>
      </text>
    </comment>
    <comment ref="X88" authorId="0" shapeId="0">
      <text>
        <r>
          <rPr>
            <sz val="9"/>
            <color indexed="81"/>
            <rFont val="Tahoma"/>
            <charset val="1"/>
          </rPr>
          <t xml:space="preserve">
5.06 €/m outer tape
3.11 €/m inner tape"</t>
        </r>
      </text>
    </comment>
    <comment ref="X90" authorId="0" shapeId="0">
      <text>
        <r>
          <rPr>
            <sz val="9"/>
            <color indexed="81"/>
            <rFont val="Tahoma"/>
            <charset val="1"/>
          </rPr>
          <t xml:space="preserve">14,15 €/m2 plaster plaster
5,95 €/m sheet-sheet joining tape
10,45 €/m sheet-plaster joining tape"
</t>
        </r>
      </text>
    </comment>
    <comment ref="B91" authorId="0" shapeId="0">
      <text>
        <r>
          <rPr>
            <b/>
            <sz val="9"/>
            <color indexed="81"/>
            <rFont val="Tahoma"/>
            <family val="2"/>
            <charset val="161"/>
          </rPr>
          <t>User:</t>
        </r>
        <r>
          <rPr>
            <sz val="9"/>
            <color indexed="81"/>
            <rFont val="Tahoma"/>
            <family val="2"/>
            <charset val="161"/>
          </rPr>
          <t xml:space="preserve">
Entering a value here will replace the values in cells D83-86</t>
        </r>
      </text>
    </comment>
    <comment ref="Q91" authorId="0" shapeId="0">
      <text>
        <r>
          <rPr>
            <b/>
            <sz val="9"/>
            <color indexed="81"/>
            <rFont val="Tahoma"/>
            <family val="2"/>
            <charset val="161"/>
          </rPr>
          <t>User:</t>
        </r>
        <r>
          <rPr>
            <sz val="9"/>
            <color indexed="81"/>
            <rFont val="Tahoma"/>
            <family val="2"/>
            <charset val="161"/>
          </rPr>
          <t xml:space="preserve">
Entering a value here will replace the values in cells D83-86</t>
        </r>
      </text>
    </comment>
    <comment ref="B92" authorId="0" shapeId="0">
      <text>
        <r>
          <rPr>
            <b/>
            <sz val="9"/>
            <color indexed="81"/>
            <rFont val="Tahoma"/>
            <family val="2"/>
            <charset val="161"/>
          </rPr>
          <t>User:</t>
        </r>
        <r>
          <rPr>
            <sz val="9"/>
            <color indexed="81"/>
            <rFont val="Tahoma"/>
            <family val="2"/>
            <charset val="161"/>
          </rPr>
          <t xml:space="preserve">
Entering a value here will replace the values in cells D83-86</t>
        </r>
      </text>
    </comment>
    <comment ref="Q92" authorId="0" shapeId="0">
      <text>
        <r>
          <rPr>
            <b/>
            <sz val="9"/>
            <color indexed="81"/>
            <rFont val="Tahoma"/>
            <family val="2"/>
            <charset val="161"/>
          </rPr>
          <t>User:</t>
        </r>
        <r>
          <rPr>
            <sz val="9"/>
            <color indexed="81"/>
            <rFont val="Tahoma"/>
            <family val="2"/>
            <charset val="161"/>
          </rPr>
          <t xml:space="preserve">
Entering a value here will replace the values in cells D83-86</t>
        </r>
      </text>
    </comment>
    <comment ref="T97" authorId="0" shapeId="0">
      <text>
        <r>
          <rPr>
            <b/>
            <sz val="9"/>
            <color indexed="81"/>
            <rFont val="Tahoma"/>
            <charset val="1"/>
          </rPr>
          <t>User:</t>
        </r>
        <r>
          <rPr>
            <sz val="9"/>
            <color indexed="81"/>
            <rFont val="Tahoma"/>
            <charset val="1"/>
          </rPr>
          <t xml:space="preserve">
enter the m^2 of the house above </t>
        </r>
      </text>
    </comment>
    <comment ref="X97" authorId="0" shapeId="0">
      <text>
        <r>
          <rPr>
            <b/>
            <sz val="9"/>
            <color indexed="81"/>
            <rFont val="Tahoma"/>
            <charset val="1"/>
          </rPr>
          <t>User:</t>
        </r>
        <r>
          <rPr>
            <sz val="9"/>
            <color indexed="81"/>
            <rFont val="Tahoma"/>
            <charset val="1"/>
          </rPr>
          <t xml:space="preserve">
cost with the installation included </t>
        </r>
      </text>
    </comment>
    <comment ref="T98" authorId="0" shapeId="0">
      <text>
        <r>
          <rPr>
            <b/>
            <sz val="9"/>
            <color indexed="81"/>
            <rFont val="Tahoma"/>
            <charset val="1"/>
          </rPr>
          <t>User:</t>
        </r>
        <r>
          <rPr>
            <sz val="9"/>
            <color indexed="81"/>
            <rFont val="Tahoma"/>
            <charset val="1"/>
          </rPr>
          <t xml:space="preserve">
enter the m^2 of the house above </t>
        </r>
      </text>
    </comment>
    <comment ref="U98" authorId="0" shapeId="0">
      <text>
        <r>
          <rPr>
            <b/>
            <sz val="9"/>
            <color indexed="81"/>
            <rFont val="Tahoma"/>
            <family val="2"/>
            <charset val="161"/>
          </rPr>
          <t>User:</t>
        </r>
        <r>
          <rPr>
            <sz val="9"/>
            <color indexed="81"/>
            <rFont val="Tahoma"/>
            <family val="2"/>
            <charset val="161"/>
          </rPr>
          <t xml:space="preserve">
35% more thn Greece</t>
        </r>
      </text>
    </comment>
    <comment ref="X100" authorId="0" shapeId="0">
      <text>
        <r>
          <rPr>
            <b/>
            <sz val="9"/>
            <color indexed="81"/>
            <rFont val="Tahoma"/>
            <charset val="1"/>
          </rPr>
          <t>User:</t>
        </r>
        <r>
          <rPr>
            <sz val="9"/>
            <color indexed="81"/>
            <rFont val="Tahoma"/>
            <charset val="1"/>
          </rPr>
          <t xml:space="preserve">
cost with the installation included </t>
        </r>
      </text>
    </comment>
    <comment ref="T102" authorId="0" shapeId="0">
      <text>
        <r>
          <rPr>
            <sz val="9"/>
            <color indexed="81"/>
            <rFont val="Tahoma"/>
            <charset val="1"/>
          </rPr>
          <t xml:space="preserve">enter the m^2 of the house above </t>
        </r>
      </text>
    </comment>
    <comment ref="U102" authorId="0" shapeId="0">
      <text>
        <r>
          <rPr>
            <b/>
            <sz val="9"/>
            <color indexed="81"/>
            <rFont val="Tahoma"/>
            <family val="2"/>
            <charset val="161"/>
          </rPr>
          <t>User:</t>
        </r>
        <r>
          <rPr>
            <sz val="9"/>
            <color indexed="81"/>
            <rFont val="Tahoma"/>
            <family val="2"/>
            <charset val="161"/>
          </rPr>
          <t xml:space="preserve">
35% more thn Greece</t>
        </r>
      </text>
    </comment>
    <comment ref="X102" authorId="0" shapeId="0">
      <text>
        <r>
          <rPr>
            <sz val="9"/>
            <color indexed="81"/>
            <rFont val="Tahoma"/>
            <family val="2"/>
            <charset val="161"/>
          </rPr>
          <t xml:space="preserve">enter the m^2 of the house above </t>
        </r>
      </text>
    </comment>
    <comment ref="U103" authorId="0" shapeId="0">
      <text>
        <r>
          <rPr>
            <b/>
            <sz val="9"/>
            <color indexed="81"/>
            <rFont val="Tahoma"/>
            <family val="2"/>
            <charset val="161"/>
          </rPr>
          <t>User:</t>
        </r>
        <r>
          <rPr>
            <sz val="9"/>
            <color indexed="81"/>
            <rFont val="Tahoma"/>
            <family val="2"/>
            <charset val="161"/>
          </rPr>
          <t xml:space="preserve">
35% more thn Greece</t>
        </r>
      </text>
    </comment>
    <comment ref="B104" authorId="0" shapeId="0">
      <text>
        <r>
          <rPr>
            <b/>
            <sz val="9"/>
            <color indexed="81"/>
            <rFont val="Tahoma"/>
            <family val="2"/>
            <charset val="161"/>
          </rPr>
          <t>User:</t>
        </r>
        <r>
          <rPr>
            <sz val="9"/>
            <color indexed="81"/>
            <rFont val="Tahoma"/>
            <family val="2"/>
            <charset val="161"/>
          </rPr>
          <t xml:space="preserve">
Heating, cooling and DHW system </t>
        </r>
      </text>
    </comment>
    <comment ref="D104" authorId="0" shapeId="0">
      <text>
        <r>
          <rPr>
            <b/>
            <sz val="9"/>
            <color indexed="81"/>
            <rFont val="Tahoma"/>
            <family val="2"/>
            <charset val="161"/>
          </rPr>
          <t>User:</t>
        </r>
        <r>
          <rPr>
            <sz val="9"/>
            <color indexed="81"/>
            <rFont val="Tahoma"/>
            <family val="2"/>
            <charset val="161"/>
          </rPr>
          <t xml:space="preserve">
Entering a value here will replace the values in cells D92-98</t>
        </r>
      </text>
    </comment>
    <comment ref="Q104" authorId="0" shapeId="0">
      <text>
        <r>
          <rPr>
            <b/>
            <sz val="9"/>
            <color indexed="81"/>
            <rFont val="Tahoma"/>
            <family val="2"/>
            <charset val="161"/>
          </rPr>
          <t>User:</t>
        </r>
        <r>
          <rPr>
            <sz val="9"/>
            <color indexed="81"/>
            <rFont val="Tahoma"/>
            <family val="2"/>
            <charset val="161"/>
          </rPr>
          <t xml:space="preserve">
Heating, cooling and DHW system </t>
        </r>
      </text>
    </comment>
    <comment ref="U104" authorId="0" shapeId="0">
      <text>
        <r>
          <rPr>
            <sz val="9"/>
            <color indexed="81"/>
            <rFont val="Tahoma"/>
            <family val="2"/>
            <charset val="161"/>
          </rPr>
          <t>for 156 m^2</t>
        </r>
      </text>
    </comment>
    <comment ref="W104" authorId="0" shapeId="0">
      <text>
        <r>
          <rPr>
            <b/>
            <sz val="9"/>
            <color indexed="81"/>
            <rFont val="Tahoma"/>
            <charset val="1"/>
          </rPr>
          <t>User:</t>
        </r>
        <r>
          <rPr>
            <sz val="9"/>
            <color indexed="81"/>
            <rFont val="Tahoma"/>
            <charset val="1"/>
          </rPr>
          <t xml:space="preserve">
enter the m^2 of the house </t>
        </r>
      </text>
    </comment>
    <comment ref="B105" authorId="0" shapeId="0">
      <text>
        <r>
          <rPr>
            <b/>
            <sz val="9"/>
            <color indexed="81"/>
            <rFont val="Tahoma"/>
            <family val="2"/>
            <charset val="161"/>
          </rPr>
          <t>User:</t>
        </r>
        <r>
          <rPr>
            <sz val="9"/>
            <color indexed="81"/>
            <rFont val="Tahoma"/>
            <family val="2"/>
            <charset val="161"/>
          </rPr>
          <t xml:space="preserve">
Heating, cooling and DHW system </t>
        </r>
      </text>
    </comment>
    <comment ref="Q105" authorId="0" shapeId="0">
      <text>
        <r>
          <rPr>
            <b/>
            <sz val="9"/>
            <color indexed="81"/>
            <rFont val="Tahoma"/>
            <family val="2"/>
            <charset val="161"/>
          </rPr>
          <t>User:</t>
        </r>
        <r>
          <rPr>
            <sz val="9"/>
            <color indexed="81"/>
            <rFont val="Tahoma"/>
            <family val="2"/>
            <charset val="161"/>
          </rPr>
          <t xml:space="preserve">
Heating, cooling and DHW system </t>
        </r>
      </text>
    </comment>
    <comment ref="U105" authorId="0" shapeId="0">
      <text>
        <r>
          <rPr>
            <sz val="9"/>
            <color indexed="81"/>
            <rFont val="Tahoma"/>
            <family val="2"/>
            <charset val="161"/>
          </rPr>
          <t>for 156 m^2</t>
        </r>
      </text>
    </comment>
    <comment ref="U110" authorId="0" shapeId="0">
      <text>
        <r>
          <rPr>
            <b/>
            <sz val="9"/>
            <color indexed="81"/>
            <rFont val="Tahoma"/>
            <family val="2"/>
            <charset val="161"/>
          </rPr>
          <t>User:</t>
        </r>
        <r>
          <rPr>
            <sz val="9"/>
            <color indexed="81"/>
            <rFont val="Tahoma"/>
            <family val="2"/>
            <charset val="161"/>
          </rPr>
          <t xml:space="preserve">
35% more thn Greece</t>
        </r>
      </text>
    </comment>
    <comment ref="U111" authorId="0" shapeId="0">
      <text>
        <r>
          <rPr>
            <b/>
            <sz val="9"/>
            <color indexed="81"/>
            <rFont val="Tahoma"/>
            <family val="2"/>
            <charset val="161"/>
          </rPr>
          <t>User:</t>
        </r>
        <r>
          <rPr>
            <sz val="9"/>
            <color indexed="81"/>
            <rFont val="Tahoma"/>
            <family val="2"/>
            <charset val="161"/>
          </rPr>
          <t xml:space="preserve">
35% more thn Greece</t>
        </r>
      </text>
    </comment>
    <comment ref="X111" authorId="0" shapeId="0">
      <text>
        <r>
          <rPr>
            <sz val="9"/>
            <color indexed="81"/>
            <rFont val="Tahoma"/>
            <family val="2"/>
            <charset val="161"/>
          </rPr>
          <t xml:space="preserve">enter the m^2 of the house above </t>
        </r>
      </text>
    </comment>
  </commentList>
</comments>
</file>

<file path=xl/comments2.xml><?xml version="1.0" encoding="utf-8"?>
<comments xmlns="http://schemas.openxmlformats.org/spreadsheetml/2006/main">
  <authors>
    <author>User</author>
  </authors>
  <commentList>
    <comment ref="D6" authorId="0" shapeId="0">
      <text>
        <r>
          <rPr>
            <b/>
            <sz val="9"/>
            <color indexed="81"/>
            <rFont val="Tahoma"/>
            <charset val="1"/>
          </rPr>
          <t xml:space="preserve">the labore is included </t>
        </r>
      </text>
    </comment>
  </commentList>
</comments>
</file>

<file path=xl/comments3.xml><?xml version="1.0" encoding="utf-8"?>
<comments xmlns="http://schemas.openxmlformats.org/spreadsheetml/2006/main">
  <authors>
    <author>User</author>
  </authors>
  <commentList>
    <comment ref="E4" authorId="0" shapeId="0">
      <text>
        <r>
          <rPr>
            <b/>
            <sz val="9"/>
            <color indexed="81"/>
            <rFont val="Tahoma"/>
            <charset val="1"/>
          </rPr>
          <t>User:</t>
        </r>
        <r>
          <rPr>
            <sz val="9"/>
            <color indexed="81"/>
            <rFont val="Tahoma"/>
            <charset val="1"/>
          </rPr>
          <t xml:space="preserve">
+ 10% εργατικά </t>
        </r>
      </text>
    </comment>
    <comment ref="B78" authorId="0" shapeId="0">
      <text>
        <r>
          <rPr>
            <b/>
            <sz val="9"/>
            <color indexed="81"/>
            <rFont val="Tahoma"/>
            <family val="2"/>
            <charset val="161"/>
          </rPr>
          <t>User:</t>
        </r>
        <r>
          <rPr>
            <sz val="9"/>
            <color indexed="81"/>
            <rFont val="Tahoma"/>
            <family val="2"/>
            <charset val="161"/>
          </rPr>
          <t xml:space="preserve">
Τιμές από προσφορά που είχαμε για τον έργο του Γρηγορίου στος Πτελεό </t>
        </r>
      </text>
    </comment>
  </commentList>
</comments>
</file>

<file path=xl/comments4.xml><?xml version="1.0" encoding="utf-8"?>
<comments xmlns="http://schemas.openxmlformats.org/spreadsheetml/2006/main">
  <authors>
    <author>User</author>
  </authors>
  <commentList>
    <comment ref="C14" authorId="0" shapeId="0">
      <text>
        <r>
          <rPr>
            <b/>
            <sz val="9"/>
            <color indexed="81"/>
            <rFont val="Tahoma"/>
            <family val="2"/>
            <charset val="161"/>
          </rPr>
          <t>User:</t>
        </r>
        <r>
          <rPr>
            <sz val="9"/>
            <color indexed="81"/>
            <rFont val="Tahoma"/>
            <family val="2"/>
            <charset val="161"/>
          </rPr>
          <t xml:space="preserve">
 Να διαλέξουμε πως θα εισάγουμε τους υαλοπίνακες για να βάλω την σωστή τιμή </t>
        </r>
      </text>
    </comment>
    <comment ref="E15" authorId="0" shapeId="0">
      <text>
        <r>
          <rPr>
            <b/>
            <sz val="9"/>
            <color indexed="81"/>
            <rFont val="Tahoma"/>
            <family val="2"/>
            <charset val="161"/>
          </rPr>
          <t>User:</t>
        </r>
        <r>
          <rPr>
            <sz val="9"/>
            <color indexed="81"/>
            <rFont val="Tahoma"/>
            <family val="2"/>
            <charset val="161"/>
          </rPr>
          <t xml:space="preserve">
1 -&gt; mineral wool
</t>
        </r>
      </text>
    </comment>
    <comment ref="B16" authorId="0" shapeId="0">
      <text>
        <r>
          <rPr>
            <b/>
            <sz val="9"/>
            <color indexed="81"/>
            <rFont val="Tahoma"/>
            <family val="2"/>
            <charset val="161"/>
          </rPr>
          <t>User:</t>
        </r>
        <r>
          <rPr>
            <sz val="9"/>
            <color indexed="81"/>
            <rFont val="Tahoma"/>
            <family val="2"/>
            <charset val="161"/>
          </rPr>
          <t xml:space="preserve">
1-Concreat
2- wood
3- </t>
        </r>
      </text>
    </comment>
    <comment ref="B32" authorId="0" shapeId="0">
      <text>
        <r>
          <rPr>
            <b/>
            <sz val="9"/>
            <color indexed="81"/>
            <rFont val="Tahoma"/>
            <family val="2"/>
            <charset val="161"/>
          </rPr>
          <t>User:</t>
        </r>
        <r>
          <rPr>
            <sz val="9"/>
            <color indexed="81"/>
            <rFont val="Tahoma"/>
            <family val="2"/>
            <charset val="161"/>
          </rPr>
          <t xml:space="preserve">
calculated with phpp u values</t>
        </r>
      </text>
    </comment>
    <comment ref="B47" authorId="0" shapeId="0">
      <text>
        <r>
          <rPr>
            <b/>
            <sz val="9"/>
            <color indexed="81"/>
            <rFont val="Tahoma"/>
            <family val="2"/>
            <charset val="161"/>
          </rPr>
          <t>User:</t>
        </r>
        <r>
          <rPr>
            <sz val="9"/>
            <color indexed="81"/>
            <rFont val="Tahoma"/>
            <family val="2"/>
            <charset val="161"/>
          </rPr>
          <t xml:space="preserve">
Είναι μέγιστα άρα πάμε σε κάτι πιο χαμηλό 
</t>
        </r>
      </text>
    </comment>
    <comment ref="I47" authorId="0" shapeId="0">
      <text>
        <r>
          <rPr>
            <b/>
            <sz val="9"/>
            <color indexed="81"/>
            <rFont val="Tahoma"/>
            <family val="2"/>
            <charset val="161"/>
          </rPr>
          <t>User:</t>
        </r>
        <r>
          <rPr>
            <sz val="9"/>
            <color indexed="81"/>
            <rFont val="Tahoma"/>
            <family val="2"/>
            <charset val="161"/>
          </rPr>
          <t xml:space="preserve">
Είναι μέγιστα άρα πάμε σε κάτι πιο χαμηλό 
</t>
        </r>
      </text>
    </comment>
    <comment ref="B66" authorId="0" shapeId="0">
      <text>
        <r>
          <rPr>
            <b/>
            <sz val="9"/>
            <color indexed="81"/>
            <rFont val="Tahoma"/>
            <family val="2"/>
            <charset val="161"/>
          </rPr>
          <t>User:</t>
        </r>
        <r>
          <rPr>
            <sz val="9"/>
            <color indexed="81"/>
            <rFont val="Tahoma"/>
            <family val="2"/>
            <charset val="161"/>
          </rPr>
          <t xml:space="preserve">
1-Concreat
2- wood
3- </t>
        </r>
      </text>
    </comment>
    <comment ref="E70" authorId="0" shapeId="0">
      <text>
        <r>
          <rPr>
            <b/>
            <sz val="9"/>
            <color indexed="81"/>
            <rFont val="Tahoma"/>
            <family val="2"/>
            <charset val="161"/>
          </rPr>
          <t>User:</t>
        </r>
        <r>
          <rPr>
            <sz val="9"/>
            <color indexed="81"/>
            <rFont val="Tahoma"/>
            <family val="2"/>
            <charset val="161"/>
          </rPr>
          <t xml:space="preserve">
1 -&gt; mineral wool
</t>
        </r>
      </text>
    </comment>
    <comment ref="B72" authorId="0" shapeId="0">
      <text>
        <r>
          <rPr>
            <b/>
            <sz val="9"/>
            <color indexed="81"/>
            <rFont val="Tahoma"/>
            <family val="2"/>
            <charset val="161"/>
          </rPr>
          <t>User:</t>
        </r>
        <r>
          <rPr>
            <sz val="9"/>
            <color indexed="81"/>
            <rFont val="Tahoma"/>
            <family val="2"/>
            <charset val="161"/>
          </rPr>
          <t xml:space="preserve">
1-Concreat
2- wood
3- </t>
        </r>
      </text>
    </comment>
    <comment ref="P84" authorId="0" shapeId="0">
      <text>
        <r>
          <rPr>
            <b/>
            <sz val="9"/>
            <color indexed="81"/>
            <rFont val="Tahoma"/>
            <family val="2"/>
            <charset val="161"/>
          </rPr>
          <t>User:</t>
        </r>
        <r>
          <rPr>
            <sz val="9"/>
            <color indexed="81"/>
            <rFont val="Tahoma"/>
            <family val="2"/>
            <charset val="161"/>
          </rPr>
          <t xml:space="preserve">
Δεν βρήκα τι προβλέπει ο κενακ για αυτό </t>
        </r>
      </text>
    </comment>
    <comment ref="S84" authorId="0" shapeId="0">
      <text>
        <r>
          <rPr>
            <b/>
            <sz val="9"/>
            <color indexed="81"/>
            <rFont val="Tahoma"/>
            <family val="2"/>
            <charset val="161"/>
          </rPr>
          <t>User:</t>
        </r>
        <r>
          <rPr>
            <sz val="9"/>
            <color indexed="81"/>
            <rFont val="Tahoma"/>
            <family val="2"/>
            <charset val="161"/>
          </rPr>
          <t xml:space="preserve">
Δεν βρήκα τι προβλέπει ο κενακ για αυτό </t>
        </r>
      </text>
    </comment>
    <comment ref="B85" authorId="0" shapeId="0">
      <text>
        <r>
          <rPr>
            <b/>
            <sz val="9"/>
            <color indexed="81"/>
            <rFont val="Tahoma"/>
            <family val="2"/>
            <charset val="161"/>
          </rPr>
          <t>User:</t>
        </r>
        <r>
          <rPr>
            <sz val="9"/>
            <color indexed="81"/>
            <rFont val="Tahoma"/>
            <family val="2"/>
            <charset val="161"/>
          </rPr>
          <t xml:space="preserve">
calculated with phpp u values</t>
        </r>
      </text>
    </comment>
  </commentList>
</comments>
</file>

<file path=xl/comments5.xml><?xml version="1.0" encoding="utf-8"?>
<comments xmlns="http://schemas.openxmlformats.org/spreadsheetml/2006/main">
  <authors>
    <author>User</author>
  </authors>
  <commentList>
    <comment ref="E19" authorId="0" shapeId="0">
      <text>
        <r>
          <rPr>
            <b/>
            <sz val="9"/>
            <color indexed="81"/>
            <rFont val="Tahoma"/>
            <family val="2"/>
            <charset val="161"/>
          </rPr>
          <t>User:</t>
        </r>
        <r>
          <rPr>
            <sz val="9"/>
            <color indexed="81"/>
            <rFont val="Tahoma"/>
            <family val="2"/>
            <charset val="161"/>
          </rPr>
          <t xml:space="preserve">
1 για χώρους διαβίωσης 
2 για χώρους υγιεινής (μπάνιο κουζίνα αποθήκες)</t>
        </r>
      </text>
    </comment>
    <comment ref="I19" authorId="0" shapeId="0">
      <text>
        <r>
          <rPr>
            <b/>
            <sz val="9"/>
            <color indexed="81"/>
            <rFont val="Tahoma"/>
            <family val="2"/>
            <charset val="161"/>
          </rPr>
          <t xml:space="preserve">User:
Έστω ότι θέλω 0.7 εναλλαγές </t>
        </r>
      </text>
    </comment>
    <comment ref="J19" authorId="0" shapeId="0">
      <text>
        <r>
          <rPr>
            <b/>
            <sz val="9"/>
            <color indexed="81"/>
            <rFont val="Tahoma"/>
            <family val="2"/>
            <charset val="161"/>
          </rPr>
          <t>User:</t>
        </r>
        <r>
          <rPr>
            <sz val="9"/>
            <color indexed="81"/>
            <rFont val="Tahoma"/>
            <family val="2"/>
            <charset val="161"/>
          </rPr>
          <t xml:space="preserve">
Έστω ότι θέλω 1.5 εναλλαγές ανά δωμάτιο
</t>
        </r>
      </text>
    </comment>
    <comment ref="L19" authorId="0" shapeId="0">
      <text>
        <r>
          <rPr>
            <b/>
            <sz val="9"/>
            <color indexed="81"/>
            <rFont val="Tahoma"/>
            <family val="2"/>
            <charset val="161"/>
          </rPr>
          <t>User:</t>
        </r>
        <r>
          <rPr>
            <sz val="9"/>
            <color indexed="81"/>
            <rFont val="Tahoma"/>
            <family val="2"/>
            <charset val="161"/>
          </rPr>
          <t xml:space="preserve">
Επειδή θέλουμε η συνολική προσαγωγή να είναι ίση με την συνολική  απαγωγή θα κάνουμε την υπόθεση ότι όταν δεν βγαίνουν ισες θα ισοκατανέμουμε την παροχή που περισσεύει στα όλα το δωμάτια που υπολείπονται  </t>
        </r>
      </text>
    </comment>
    <comment ref="D57" authorId="0" shapeId="0">
      <text>
        <r>
          <rPr>
            <b/>
            <sz val="9"/>
            <color indexed="81"/>
            <rFont val="Tahoma"/>
            <family val="2"/>
            <charset val="161"/>
          </rPr>
          <t>User:</t>
        </r>
        <r>
          <rPr>
            <sz val="9"/>
            <color indexed="81"/>
            <rFont val="Tahoma"/>
            <family val="2"/>
            <charset val="161"/>
          </rPr>
          <t xml:space="preserve">
50m σωλήνα για κάθε 40 m2 κατοικίας</t>
        </r>
      </text>
    </comment>
    <comment ref="C98" authorId="0" shapeId="0">
      <text>
        <r>
          <rPr>
            <b/>
            <sz val="9"/>
            <color indexed="81"/>
            <rFont val="Tahoma"/>
            <family val="2"/>
            <charset val="161"/>
          </rPr>
          <t>User:</t>
        </r>
        <r>
          <rPr>
            <sz val="9"/>
            <color indexed="81"/>
            <rFont val="Tahoma"/>
            <family val="2"/>
            <charset val="161"/>
          </rPr>
          <t xml:space="preserve">
</t>
        </r>
      </text>
    </comment>
  </commentList>
</comments>
</file>

<file path=xl/comments6.xml><?xml version="1.0" encoding="utf-8"?>
<comments xmlns="http://schemas.openxmlformats.org/spreadsheetml/2006/main">
  <authors>
    <author>User</author>
  </authors>
  <commentList>
    <comment ref="B9" authorId="0" shapeId="0">
      <text>
        <r>
          <rPr>
            <b/>
            <sz val="9"/>
            <color indexed="81"/>
            <rFont val="Tahoma"/>
            <family val="2"/>
            <charset val="161"/>
          </rPr>
          <t>User:</t>
        </r>
        <r>
          <rPr>
            <sz val="9"/>
            <color indexed="81"/>
            <rFont val="Tahoma"/>
            <family val="2"/>
            <charset val="161"/>
          </rPr>
          <t xml:space="preserve">
8000 </t>
        </r>
        <r>
          <rPr>
            <sz val="9"/>
            <color indexed="81"/>
            <rFont val="Calibri"/>
            <family val="2"/>
            <charset val="161"/>
          </rPr>
          <t>€</t>
        </r>
        <r>
          <rPr>
            <sz val="9"/>
            <color indexed="81"/>
            <rFont val="Tahoma"/>
            <family val="2"/>
            <charset val="161"/>
          </rPr>
          <t>/m^2</t>
        </r>
      </text>
    </comment>
    <comment ref="B12" authorId="0" shapeId="0">
      <text>
        <r>
          <rPr>
            <b/>
            <sz val="9"/>
            <color indexed="81"/>
            <rFont val="Tahoma"/>
            <family val="2"/>
            <charset val="161"/>
          </rPr>
          <t>User:</t>
        </r>
        <r>
          <rPr>
            <sz val="9"/>
            <color indexed="81"/>
            <rFont val="Tahoma"/>
            <family val="2"/>
            <charset val="161"/>
          </rPr>
          <t xml:space="preserve">
8000 </t>
        </r>
        <r>
          <rPr>
            <sz val="9"/>
            <color indexed="81"/>
            <rFont val="Calibri"/>
            <family val="2"/>
            <charset val="161"/>
          </rPr>
          <t>€</t>
        </r>
        <r>
          <rPr>
            <sz val="9"/>
            <color indexed="81"/>
            <rFont val="Tahoma"/>
            <family val="2"/>
            <charset val="161"/>
          </rPr>
          <t>/m^2</t>
        </r>
      </text>
    </comment>
    <comment ref="H27" authorId="0" shapeId="0">
      <text>
        <r>
          <rPr>
            <b/>
            <sz val="9"/>
            <color indexed="81"/>
            <rFont val="Tahoma"/>
            <family val="2"/>
            <charset val="161"/>
          </rPr>
          <t>User:</t>
        </r>
        <r>
          <rPr>
            <sz val="9"/>
            <color indexed="81"/>
            <rFont val="Tahoma"/>
            <family val="2"/>
            <charset val="161"/>
          </rPr>
          <t xml:space="preserve">
1200 </t>
        </r>
        <r>
          <rPr>
            <sz val="9"/>
            <color indexed="81"/>
            <rFont val="Calibri"/>
            <family val="2"/>
            <charset val="161"/>
          </rPr>
          <t>€ per</t>
        </r>
        <r>
          <rPr>
            <sz val="9"/>
            <color indexed="81"/>
            <rFont val="Tahoma"/>
            <family val="2"/>
            <charset val="161"/>
          </rPr>
          <t xml:space="preserve"> 100 m^2</t>
        </r>
      </text>
    </comment>
    <comment ref="H29" authorId="0" shapeId="0">
      <text>
        <r>
          <rPr>
            <b/>
            <sz val="9"/>
            <color indexed="81"/>
            <rFont val="Tahoma"/>
            <family val="2"/>
            <charset val="161"/>
          </rPr>
          <t>User:</t>
        </r>
        <r>
          <rPr>
            <sz val="9"/>
            <color indexed="81"/>
            <rFont val="Tahoma"/>
            <family val="2"/>
            <charset val="161"/>
          </rPr>
          <t xml:space="preserve">
1200 </t>
        </r>
        <r>
          <rPr>
            <sz val="9"/>
            <color indexed="81"/>
            <rFont val="Calibri"/>
            <family val="2"/>
            <charset val="161"/>
          </rPr>
          <t>€ per</t>
        </r>
        <r>
          <rPr>
            <sz val="9"/>
            <color indexed="81"/>
            <rFont val="Tahoma"/>
            <family val="2"/>
            <charset val="161"/>
          </rPr>
          <t xml:space="preserve"> 100 m^2</t>
        </r>
      </text>
    </comment>
  </commentList>
</comments>
</file>

<file path=xl/sharedStrings.xml><?xml version="1.0" encoding="utf-8"?>
<sst xmlns="http://schemas.openxmlformats.org/spreadsheetml/2006/main" count="840" uniqueCount="520">
  <si>
    <t xml:space="preserve">Είδος κατοικίας </t>
  </si>
  <si>
    <t>#</t>
  </si>
  <si>
    <t>Υψόμετρο πάνω από την επιφάνειας της θάλασσας [m]</t>
  </si>
  <si>
    <t xml:space="preserve">Ύψος κατοικίας </t>
  </si>
  <si>
    <t>Α</t>
  </si>
  <si>
    <t>Β</t>
  </si>
  <si>
    <t>Γ</t>
  </si>
  <si>
    <t>Δ</t>
  </si>
  <si>
    <t>PHPP</t>
  </si>
  <si>
    <t>Σωλήνα Φ160</t>
  </si>
  <si>
    <t>Φ75</t>
  </si>
  <si>
    <t>Φ160</t>
  </si>
  <si>
    <t xml:space="preserve">extra </t>
  </si>
  <si>
    <t xml:space="preserve"> m</t>
  </si>
  <si>
    <t>extra</t>
  </si>
  <si>
    <t xml:space="preserve">Δεδομένα Δωματίων </t>
  </si>
  <si>
    <t xml:space="preserve">Δωμάτιο </t>
  </si>
  <si>
    <t xml:space="preserve">είδος </t>
  </si>
  <si>
    <t>m2</t>
  </si>
  <si>
    <t xml:space="preserve">Μπάνιο </t>
  </si>
  <si>
    <t xml:space="preserve">WC </t>
  </si>
  <si>
    <t xml:space="preserve">Κουζίνα </t>
  </si>
  <si>
    <t xml:space="preserve">Αποθήκη </t>
  </si>
  <si>
    <t>Υπνοδωμάτιο 1</t>
  </si>
  <si>
    <t>Υπνοδωμάτιο 2</t>
  </si>
  <si>
    <t xml:space="preserve">Σαλόνι </t>
  </si>
  <si>
    <t xml:space="preserve">Τραπεζαρία </t>
  </si>
  <si>
    <t>Total</t>
  </si>
  <si>
    <t>Ύψος  m</t>
  </si>
  <si>
    <t>Όγκος m3</t>
  </si>
  <si>
    <t xml:space="preserve">SUP </t>
  </si>
  <si>
    <t>EXTR</t>
  </si>
  <si>
    <t>Εναλλαγές 1/h</t>
  </si>
  <si>
    <t>SUP NEW</t>
  </si>
  <si>
    <t>EXTR NEW</t>
  </si>
  <si>
    <t>ATREA - DUPLEX Easy 250</t>
  </si>
  <si>
    <t>ATREA - DUPLEX Easy 300</t>
  </si>
  <si>
    <t>ATREA - DUPLEX Easy 400</t>
  </si>
  <si>
    <t>PICHLER  - LG 150 A</t>
  </si>
  <si>
    <t>Wolf  - CWL - 300 Excellent</t>
  </si>
  <si>
    <t>Wolf  - CWL - 400</t>
  </si>
  <si>
    <t>Wolf  - CWL - 400 Excellent</t>
  </si>
  <si>
    <t>Wolf  - CWL-F-150 Excellent</t>
  </si>
  <si>
    <t>Wolf  - CWL-F-300 Excellent</t>
  </si>
  <si>
    <t>Wolf  - CWL-T-300 Excellent</t>
  </si>
  <si>
    <t>m</t>
  </si>
  <si>
    <t xml:space="preserve">ΚΕΝΑΚ </t>
  </si>
  <si>
    <t>Αφρός σε κουφώματα τιμή €/τρεχόμετρο</t>
  </si>
  <si>
    <t>ΚΕΝΑΚ</t>
  </si>
  <si>
    <t>TOTAL</t>
  </si>
  <si>
    <t>φράγμα υδρατμών</t>
  </si>
  <si>
    <t xml:space="preserve">μόνωση </t>
  </si>
  <si>
    <t xml:space="preserve">ελαφρύ μπετό (για ρύσεις) </t>
  </si>
  <si>
    <t xml:space="preserve">ασφαλτικό βερνίκι </t>
  </si>
  <si>
    <t xml:space="preserve">ασφαλτόπανα + ασφαλτική μαστίχη για ενώσεις </t>
  </si>
  <si>
    <t xml:space="preserve">τσιμετοκονία </t>
  </si>
  <si>
    <t>cm</t>
  </si>
  <si>
    <t>Πόσα μπαλκόνια έχει το σπίτι ;</t>
  </si>
  <si>
    <t xml:space="preserve">Εμβαδό Μπαλκονιών </t>
  </si>
  <si>
    <t>Πόσα παράθυρα διαθέτει το σπίτι;</t>
  </si>
  <si>
    <t>Πλάτος [mm]</t>
  </si>
  <si>
    <t>ΜέσηΤιμή / m^2</t>
  </si>
  <si>
    <t>Έχει στηθαίο η οροφή ;</t>
  </si>
  <si>
    <t xml:space="preserve">Πλήθος ατόμων στην κατοικία </t>
  </si>
  <si>
    <t xml:space="preserve">Πλήθος χώρων διαβίωσης </t>
  </si>
  <si>
    <t>Extra (σοβάς κλπ)   €/m2</t>
  </si>
  <si>
    <t xml:space="preserve">Ταινίες Κουφώματα </t>
  </si>
  <si>
    <t xml:space="preserve">Extra </t>
  </si>
  <si>
    <t>KENAK</t>
  </si>
  <si>
    <t>Περιοχή Κατοικίας (Κλιματική περιοχή)</t>
  </si>
  <si>
    <t xml:space="preserve">ALUPLAST 8000 PVC 85mm - </t>
  </si>
  <si>
    <t xml:space="preserve">ALUPLAST 8000 PVC 85mm </t>
  </si>
  <si>
    <t>CWL 2 225 4/0 R</t>
  </si>
  <si>
    <t>Siber DF EVO 2</t>
  </si>
  <si>
    <t>Διαθέτει το σπίτι κλιματιστικά αν ναι πόσα ;</t>
  </si>
  <si>
    <t xml:space="preserve">Climate zone </t>
  </si>
  <si>
    <t xml:space="preserve">Altitude above  sea level </t>
  </si>
  <si>
    <t>Building Squermetrs [m^2]</t>
  </si>
  <si>
    <t xml:space="preserve">Construction material of the walls </t>
  </si>
  <si>
    <t>Construction material of the roof</t>
  </si>
  <si>
    <t>How many windows does the house have?</t>
  </si>
  <si>
    <t>How many balconies does the house have?</t>
  </si>
  <si>
    <t>How many door balconies does the house have?</t>
  </si>
  <si>
    <t>Type of residence</t>
  </si>
  <si>
    <t>If it is an apartment, select a floor</t>
  </si>
  <si>
    <t>Does the roof have parapets?</t>
  </si>
  <si>
    <t>Are the walls of the house already insulated? If so, how many [cm] of  insulation  does it have?</t>
  </si>
  <si>
    <t>Is the roof of the house already insulated? If so, how many [cm] of  insulation  does it have?</t>
  </si>
  <si>
    <t>Is the floor in contact with an open space (1), an unheated space (2), or something else that will not be insulated (3)? </t>
  </si>
  <si>
    <t>How many people are living in the house?</t>
  </si>
  <si>
    <t>How many living spaces does the house have?</t>
  </si>
  <si>
    <t>How many non living spaces does the house have?</t>
  </si>
  <si>
    <t xml:space="preserve">Πλήθος χώρων υγιεινής </t>
  </si>
  <si>
    <t xml:space="preserve">Insulation </t>
  </si>
  <si>
    <t xml:space="preserve">Windows </t>
  </si>
  <si>
    <t xml:space="preserve">Ventilation </t>
  </si>
  <si>
    <t>HVAC</t>
  </si>
  <si>
    <t xml:space="preserve">Total </t>
  </si>
  <si>
    <t>Τετραγωνικά μέτρα κατοικίας [m2]</t>
  </si>
  <si>
    <t>Είδος κατασκευής Οροφής</t>
  </si>
  <si>
    <r>
      <t xml:space="preserve">Τιμή  μόνωσης τοίχων </t>
    </r>
    <r>
      <rPr>
        <sz val="10"/>
        <color theme="1"/>
        <rFont val="Calibri"/>
        <family val="2"/>
        <charset val="161"/>
      </rPr>
      <t>€</t>
    </r>
    <r>
      <rPr>
        <sz val="10"/>
        <color theme="1"/>
        <rFont val="Arial"/>
        <family val="2"/>
        <charset val="161"/>
      </rPr>
      <t>/m^2</t>
    </r>
  </si>
  <si>
    <t>Πάχος  μόνωσης τοίχων [mm]</t>
  </si>
  <si>
    <r>
      <t xml:space="preserve">Τιμή μόνωσης οροφής </t>
    </r>
    <r>
      <rPr>
        <sz val="10"/>
        <color theme="1"/>
        <rFont val="Calibri"/>
        <family val="2"/>
        <charset val="161"/>
      </rPr>
      <t>€</t>
    </r>
    <r>
      <rPr>
        <sz val="10"/>
        <color theme="1"/>
        <rFont val="Arial"/>
        <family val="2"/>
        <charset val="161"/>
      </rPr>
      <t>/m^2</t>
    </r>
  </si>
  <si>
    <t>Πάχος μόνωσης οροφής  [mm]</t>
  </si>
  <si>
    <r>
      <t xml:space="preserve">Τιμή μόνωσης δαπέδου  </t>
    </r>
    <r>
      <rPr>
        <sz val="10"/>
        <color theme="1"/>
        <rFont val="Calibri"/>
        <family val="2"/>
        <charset val="161"/>
      </rPr>
      <t>€</t>
    </r>
    <r>
      <rPr>
        <sz val="10"/>
        <color theme="1"/>
        <rFont val="Arial"/>
        <family val="2"/>
        <charset val="161"/>
      </rPr>
      <t>/m^2</t>
    </r>
  </si>
  <si>
    <t>Πάχος μόνωσης δαπέδου   [mm]</t>
  </si>
  <si>
    <t>Τα νέα κουφώματα θα είναι αλουμινίου(1) ή PVC (2)</t>
  </si>
  <si>
    <t>Τιμή παραθύρου  Αλουμινίου Παθητικό  [€/m^2]</t>
  </si>
  <si>
    <t xml:space="preserve">Τιμή παραθύρου Αλουμινίου ΚΕΝΑΚ [€/m^2] </t>
  </si>
  <si>
    <t>Τιμή παραθύρου κουφώματος PVC ΚΕΝΑΚ [€/m^2]</t>
  </si>
  <si>
    <t>Τιμή μπαλκονόπορτας  Αλουμινίου Παθητικό  [€/m^2]</t>
  </si>
  <si>
    <t>Τιμή παραθύρου PVC Παθητικό  [€/m^2]</t>
  </si>
  <si>
    <t>PVC</t>
  </si>
  <si>
    <t xml:space="preserve">HVAC total </t>
  </si>
  <si>
    <t>Ταινίες Αεροστεγανότητας τιμή €/τρεχόμετρο</t>
  </si>
  <si>
    <t>Μεμβράνη αεροστεγανότητας τιμή €/m2</t>
  </si>
  <si>
    <r>
      <t>Αντλία θερμότητας [</t>
    </r>
    <r>
      <rPr>
        <sz val="11"/>
        <color theme="1"/>
        <rFont val="Calibri"/>
        <family val="2"/>
        <charset val="161"/>
      </rPr>
      <t>€/m^2]</t>
    </r>
  </si>
  <si>
    <t>Σωληνώσεις [€/m^2]</t>
  </si>
  <si>
    <t>Εργατικά εγκατάστασης [€]</t>
  </si>
  <si>
    <t>ΚΕΝΑΚ [€/m^2]</t>
  </si>
  <si>
    <t>Παθητικού κτιρίου [€/m^2]</t>
  </si>
  <si>
    <r>
      <t xml:space="preserve">ΚΕΝΑΚ </t>
    </r>
    <r>
      <rPr>
        <sz val="11"/>
        <color theme="1"/>
        <rFont val="Calibri"/>
        <family val="2"/>
        <charset val="161"/>
      </rPr>
      <t xml:space="preserve">€/m^2 default </t>
    </r>
  </si>
  <si>
    <t xml:space="preserve">Frames </t>
  </si>
  <si>
    <t>Q  [m^3/h]</t>
  </si>
  <si>
    <t xml:space="preserve"> tube Φ75 [m]</t>
  </si>
  <si>
    <t>Ventilation system</t>
  </si>
  <si>
    <t>case study</t>
  </si>
  <si>
    <t>Insulation costs</t>
  </si>
  <si>
    <t>Windows' costs (frame+ glass pane)</t>
  </si>
  <si>
    <t xml:space="preserve">Cost of aluminium window (frame &amp; glass) Passivhaus€/m^2] </t>
  </si>
  <si>
    <t xml:space="preserve">Cost of aluminium window door Passivhaus [€/m^2] </t>
  </si>
  <si>
    <t xml:space="preserve">Cost of PVC  window  Passivhaus [€/m^2] </t>
  </si>
  <si>
    <t>Frame foam cost [€/per m]</t>
  </si>
  <si>
    <t>Airtightness membrane cost [€/per m]</t>
  </si>
  <si>
    <t>Extra (plaster etc.) [€/per m2]</t>
  </si>
  <si>
    <t>Heat pump [€/m^2]</t>
  </si>
  <si>
    <t>Working hours of  heat pump installation  [€]</t>
  </si>
  <si>
    <t>Cost of each study</t>
  </si>
  <si>
    <t>Costs derived from offers</t>
  </si>
  <si>
    <t>Are the new window frames made  from aluminium (1) or PVC (2)?</t>
  </si>
  <si>
    <t>Διαθέτει το σπίτι ηλιακό θερμοσίφωνα;</t>
  </si>
  <si>
    <t>Does the house have solar panel for hot water?</t>
  </si>
  <si>
    <t>Airtightness costs [€/piece]</t>
  </si>
  <si>
    <t>Pipes connecting heat pump [€/m^2]</t>
  </si>
  <si>
    <t>Εργατικά   [€]</t>
  </si>
  <si>
    <r>
      <t>ΖΝΧ  [</t>
    </r>
    <r>
      <rPr>
        <sz val="11"/>
        <color theme="1"/>
        <rFont val="Calibri"/>
        <family val="2"/>
        <charset val="161"/>
      </rPr>
      <t>€/m^2]</t>
    </r>
  </si>
  <si>
    <t>Τιμή αν κλιματιστικό  [€]</t>
  </si>
  <si>
    <t>Frame airtightness tapes cost [€/per m]</t>
  </si>
  <si>
    <t>Cost per air condition unit  [€]</t>
  </si>
  <si>
    <t>Pipes  Φ160  [€]</t>
  </si>
  <si>
    <t>Extra  [€]</t>
  </si>
  <si>
    <t>Distribution box  [€]</t>
  </si>
  <si>
    <t>Pipe Φ75/per 50m  [€]</t>
  </si>
  <si>
    <t>Σωλήνα Φ75 / τα 50 m  [€]</t>
  </si>
  <si>
    <t>Κιβώτιο διανομής  [€]</t>
  </si>
  <si>
    <t>Σύστημα αερισμού  [€]</t>
  </si>
  <si>
    <t>extra  [€]</t>
  </si>
  <si>
    <t>Cost of sound silencer (per piece)  [€]</t>
  </si>
  <si>
    <t>Κόστος ηχοπαγίδας ανά τεμάχιο  [€]</t>
  </si>
  <si>
    <t>Hard polysterene Φ160  [€]</t>
  </si>
  <si>
    <t>Cost  of inlet air port  (per piece)  [€]</t>
  </si>
  <si>
    <t>Cost of  outlet air port (per piece) [€]</t>
  </si>
  <si>
    <t>How many A/C units does the house have?</t>
  </si>
  <si>
    <t>window frames selection aluminium (1) or PVC (2)</t>
  </si>
  <si>
    <r>
      <t xml:space="preserve">final prices  </t>
    </r>
    <r>
      <rPr>
        <sz val="11"/>
        <color theme="1"/>
        <rFont val="Calibri"/>
        <family val="2"/>
        <charset val="161"/>
      </rPr>
      <t>€</t>
    </r>
  </si>
  <si>
    <t xml:space="preserve">price of aluminium window ΚΕΝΑΚ [€] </t>
  </si>
  <si>
    <t xml:space="preserve">price of aluminium window door ΚΕΝΑΚ [€] </t>
  </si>
  <si>
    <t>price of  PVC window ΚΕΝΑΚ [€]</t>
  </si>
  <si>
    <t>price of  PVC  window door ΚΕΝΑΚ [€]</t>
  </si>
  <si>
    <t xml:space="preserve">price of aluminium window PH [€] </t>
  </si>
  <si>
    <t xml:space="preserve">price of aluminium window door PH [€] </t>
  </si>
  <si>
    <t>price of  PVC window PH [€]</t>
  </si>
  <si>
    <t>price of  PVC  window door PH [€]</t>
  </si>
  <si>
    <t>Window Perimeter</t>
  </si>
  <si>
    <t>Window door Perimeter</t>
  </si>
  <si>
    <t>Window Area</t>
  </si>
  <si>
    <t>Window door Area</t>
  </si>
  <si>
    <t>Window cost</t>
  </si>
  <si>
    <t>Window door cost</t>
  </si>
  <si>
    <t>outdoor</t>
  </si>
  <si>
    <t>indoor</t>
  </si>
  <si>
    <t xml:space="preserve">Aluminium </t>
  </si>
  <si>
    <t>Aluminium</t>
  </si>
  <si>
    <t>single insulated window frames</t>
  </si>
  <si>
    <t xml:space="preserve"> insulated window door frames</t>
  </si>
  <si>
    <t>single Rehau synergo</t>
  </si>
  <si>
    <t xml:space="preserve"> Rehau synergo</t>
  </si>
  <si>
    <t xml:space="preserve">single insulated window frames </t>
  </si>
  <si>
    <t>Width [mm]</t>
  </si>
  <si>
    <t>Price</t>
  </si>
  <si>
    <r>
      <t xml:space="preserve">Triple Glazing Price </t>
    </r>
    <r>
      <rPr>
        <sz val="11"/>
        <color theme="1"/>
        <rFont val="Calibri"/>
        <family val="2"/>
        <charset val="161"/>
      </rPr>
      <t>€/m^2</t>
    </r>
  </si>
  <si>
    <t>Average fame price €/m</t>
  </si>
  <si>
    <t>Average fame price / m</t>
  </si>
  <si>
    <t>Area [m^2]</t>
  </si>
  <si>
    <r>
      <t xml:space="preserve">Price </t>
    </r>
    <r>
      <rPr>
        <sz val="11"/>
        <color theme="1"/>
        <rFont val="Calibri"/>
        <family val="2"/>
        <charset val="161"/>
      </rPr>
      <t>€</t>
    </r>
  </si>
  <si>
    <t>Price €/ m</t>
  </si>
  <si>
    <r>
      <t xml:space="preserve">Price </t>
    </r>
    <r>
      <rPr>
        <sz val="11"/>
        <color theme="1"/>
        <rFont val="Calibri"/>
        <family val="2"/>
        <charset val="161"/>
      </rPr>
      <t>€</t>
    </r>
    <r>
      <rPr>
        <sz val="11"/>
        <color theme="1"/>
        <rFont val="Calibri"/>
        <family val="2"/>
        <charset val="161"/>
        <scheme val="minor"/>
      </rPr>
      <t>/ m^2</t>
    </r>
  </si>
  <si>
    <t>Price €</t>
  </si>
  <si>
    <r>
      <t xml:space="preserve">Double Glazing Price </t>
    </r>
    <r>
      <rPr>
        <sz val="11"/>
        <color theme="1"/>
        <rFont val="Calibri"/>
        <family val="2"/>
        <charset val="161"/>
      </rPr>
      <t>€/m^2</t>
    </r>
  </si>
  <si>
    <t xml:space="preserve">Cost calculation ΚΕΝΑΚ </t>
  </si>
  <si>
    <t>ΚΕΝΑΚ data</t>
  </si>
  <si>
    <t xml:space="preserve">Max   U value for renovation </t>
  </si>
  <si>
    <t>Internal insulation</t>
  </si>
  <si>
    <t>Wall to ambient max U</t>
  </si>
  <si>
    <t>Wall to ambient  min D [mm]</t>
  </si>
  <si>
    <t>thickness of external insulation  D [mm]</t>
  </si>
  <si>
    <t xml:space="preserve">Final D  </t>
  </si>
  <si>
    <r>
      <t>Price  EPS 80 [</t>
    </r>
    <r>
      <rPr>
        <sz val="11"/>
        <color theme="1"/>
        <rFont val="Calibri"/>
        <family val="2"/>
        <charset val="161"/>
      </rPr>
      <t>€</t>
    </r>
    <r>
      <rPr>
        <sz val="11"/>
        <color theme="1"/>
        <rFont val="Calibri"/>
        <family val="2"/>
        <charset val="161"/>
        <scheme val="minor"/>
      </rPr>
      <t xml:space="preserve">/ m^2] </t>
    </r>
  </si>
  <si>
    <r>
      <t xml:space="preserve">Total price </t>
    </r>
    <r>
      <rPr>
        <sz val="11"/>
        <color theme="1"/>
        <rFont val="Calibri"/>
        <family val="2"/>
        <charset val="161"/>
      </rPr>
      <t>€</t>
    </r>
  </si>
  <si>
    <t xml:space="preserve">
Concrete </t>
  </si>
  <si>
    <r>
      <t xml:space="preserve">Total price </t>
    </r>
    <r>
      <rPr>
        <sz val="11"/>
        <color theme="1"/>
        <rFont val="Calibri"/>
        <family val="2"/>
        <charset val="161"/>
      </rPr>
      <t>€ 1</t>
    </r>
  </si>
  <si>
    <t>D - mineral wool λ=0.035</t>
  </si>
  <si>
    <r>
      <t xml:space="preserve">Wood  (with </t>
    </r>
    <r>
      <rPr>
        <b/>
        <sz val="11"/>
        <color theme="1"/>
        <rFont val="Calibri"/>
        <family val="2"/>
        <charset val="161"/>
        <scheme val="minor"/>
      </rPr>
      <t>75mm internal mineral wool)</t>
    </r>
  </si>
  <si>
    <t>thickness of internal insulation  D [mm]</t>
  </si>
  <si>
    <t>construction materials</t>
  </si>
  <si>
    <t>Total wall area  with external insulation</t>
  </si>
  <si>
    <t>Total wall area  with insulation</t>
  </si>
  <si>
    <t>Roof</t>
  </si>
  <si>
    <t>existing roof insulation [mm]</t>
  </si>
  <si>
    <t>construction roof material</t>
  </si>
  <si>
    <t xml:space="preserve">insulation price user define [€/ m^3] </t>
  </si>
  <si>
    <t xml:space="preserve">insulation price default  [ €/ m^3] </t>
  </si>
  <si>
    <t xml:space="preserve">selection of internal insulation </t>
  </si>
  <si>
    <t>Price /m2</t>
  </si>
  <si>
    <r>
      <t xml:space="preserve">Final price </t>
    </r>
    <r>
      <rPr>
        <sz val="11"/>
        <color theme="1"/>
        <rFont val="Calibri"/>
        <family val="2"/>
        <charset val="161"/>
      </rPr>
      <t>€ 1</t>
    </r>
  </si>
  <si>
    <t xml:space="preserve">Total Area </t>
  </si>
  <si>
    <t>pilot (1) ή unheated basement (2)</t>
  </si>
  <si>
    <t>insulation thickness [mm]</t>
  </si>
  <si>
    <t>parapet area m2</t>
  </si>
  <si>
    <t>Calculation for the parapet insulation</t>
  </si>
  <si>
    <t xml:space="preserve">
perimeter</t>
  </si>
  <si>
    <t>Above</t>
  </si>
  <si>
    <t>Pilot (1)</t>
  </si>
  <si>
    <t>Unheated basement (2)</t>
  </si>
  <si>
    <t>Ground - roof slab pilot/ garage/ unheated basement</t>
  </si>
  <si>
    <t>unheated basement (2)</t>
  </si>
  <si>
    <t>Calculation for the balconies insulation</t>
  </si>
  <si>
    <t>balconies area</t>
  </si>
  <si>
    <t>Total area</t>
  </si>
  <si>
    <t>insulation thickness  D [cm]</t>
  </si>
  <si>
    <t>Flanking insulation area</t>
  </si>
  <si>
    <t>Total insulation price  [€] (materials + Installation )</t>
  </si>
  <si>
    <t>Results</t>
  </si>
  <si>
    <t>Price of external insulation 1</t>
  </si>
  <si>
    <t>Price of external insulation 2</t>
  </si>
  <si>
    <t>Labor</t>
  </si>
  <si>
    <t>Final insulation price</t>
  </si>
  <si>
    <t>Price of internal insulation 1</t>
  </si>
  <si>
    <t>Price of internal insulation 2</t>
  </si>
  <si>
    <t xml:space="preserve">Price of external insulation </t>
  </si>
  <si>
    <t>parapet insulation price</t>
  </si>
  <si>
    <t>Final price  ΚΕΝΑΚ</t>
  </si>
  <si>
    <t>PH</t>
  </si>
  <si>
    <t>Final price   PH</t>
  </si>
  <si>
    <t>Final price</t>
  </si>
  <si>
    <t>Insulation thickness</t>
  </si>
  <si>
    <t xml:space="preserve">External [mm] </t>
  </si>
  <si>
    <t>Final D  [mm]</t>
  </si>
  <si>
    <t>Internal [mm]</t>
  </si>
  <si>
    <t xml:space="preserve">Concrete </t>
  </si>
  <si>
    <t xml:space="preserve">construction material </t>
  </si>
  <si>
    <t>existing wall insulation [mm]</t>
  </si>
  <si>
    <r>
      <t>Price mineral wool [</t>
    </r>
    <r>
      <rPr>
        <sz val="11"/>
        <color theme="1"/>
        <rFont val="Calibri"/>
        <family val="2"/>
        <charset val="161"/>
      </rPr>
      <t>€</t>
    </r>
    <r>
      <rPr>
        <sz val="11"/>
        <color theme="1"/>
        <rFont val="Calibri"/>
        <family val="2"/>
        <charset val="161"/>
        <scheme val="minor"/>
      </rPr>
      <t xml:space="preserve">/ m^2] </t>
    </r>
  </si>
  <si>
    <t xml:space="preserve">Walls </t>
  </si>
  <si>
    <t>Total roof area  with external insulation</t>
  </si>
  <si>
    <t>Roof to ambient max U</t>
  </si>
  <si>
    <t>Roof  to ambient  min D [mm]</t>
  </si>
  <si>
    <t>Roof  to ambient max U</t>
  </si>
  <si>
    <t>Wall to ambient D</t>
  </si>
  <si>
    <t>Roof  to ambient D</t>
  </si>
  <si>
    <t>parapet area [m2]</t>
  </si>
  <si>
    <t>U insulation eps 80</t>
  </si>
  <si>
    <t>Systems Details</t>
  </si>
  <si>
    <t xml:space="preserve">Values </t>
  </si>
  <si>
    <t xml:space="preserve">Hard polysterene Φ160 </t>
  </si>
  <si>
    <t>silencer</t>
  </si>
  <si>
    <t>Distribution box</t>
  </si>
  <si>
    <t xml:space="preserve">inlet air port  </t>
  </si>
  <si>
    <t>outlet air port</t>
  </si>
  <si>
    <t>meters of pipe Φ75 m</t>
  </si>
  <si>
    <t>Packs of 50 m Φ75</t>
  </si>
  <si>
    <t>(selection from library)</t>
  </si>
  <si>
    <t>quantity</t>
  </si>
  <si>
    <t>€ Total</t>
  </si>
  <si>
    <t xml:space="preserve">€/item default </t>
  </si>
  <si>
    <t>Hard polysterene pipe Φ160</t>
  </si>
  <si>
    <t xml:space="preserve"> Pipe Φ160</t>
  </si>
  <si>
    <t>Pipe Φ75 / per 50 m</t>
  </si>
  <si>
    <t>ventilation systems library</t>
  </si>
  <si>
    <t>Model</t>
  </si>
  <si>
    <t>min flow</t>
  </si>
  <si>
    <t>MAX flow</t>
  </si>
  <si>
    <t>Η.R</t>
  </si>
  <si>
    <t xml:space="preserve">Price of ventilation system </t>
  </si>
  <si>
    <t xml:space="preserve">Total price </t>
  </si>
  <si>
    <t>quantity of non living spaces 2</t>
  </si>
  <si>
    <t>quantity of living spaces 1</t>
  </si>
  <si>
    <t>House area m^2</t>
  </si>
  <si>
    <t>Total ventilation flow m^3/h</t>
  </si>
  <si>
    <t>Building volume</t>
  </si>
  <si>
    <t>quantity of people in the residence</t>
  </si>
  <si>
    <t>Frame perimeter</t>
  </si>
  <si>
    <t>Frame foam cost [€/per m] user defined</t>
  </si>
  <si>
    <t>Frame foam cost [€/per m] default</t>
  </si>
  <si>
    <r>
      <t xml:space="preserve">Total </t>
    </r>
    <r>
      <rPr>
        <sz val="11"/>
        <color theme="1"/>
        <rFont val="Calibri"/>
        <family val="2"/>
        <charset val="161"/>
      </rPr>
      <t>€</t>
    </r>
  </si>
  <si>
    <t>Frame airtightness tapes [m]</t>
  </si>
  <si>
    <t>Frame airtightness tapes cost [€/per m] user defined</t>
  </si>
  <si>
    <t>Frame airtightness tapes cost [€/per m] default</t>
  </si>
  <si>
    <t>Airtightness membrane cost [€/per m] user defined</t>
  </si>
  <si>
    <t>Airtightness membrane cost [€/per m] default</t>
  </si>
  <si>
    <t>Airtightness membrane area [m^2]</t>
  </si>
  <si>
    <t>Extra  €/m2 user defined</t>
  </si>
  <si>
    <t xml:space="preserve">Extra €/m2 default </t>
  </si>
  <si>
    <r>
      <t xml:space="preserve">Price for airtightness </t>
    </r>
    <r>
      <rPr>
        <b/>
        <sz val="11"/>
        <color theme="1"/>
        <rFont val="Calibri"/>
        <family val="2"/>
        <charset val="161"/>
        <scheme val="minor"/>
      </rPr>
      <t>ΚΕΝΑΚ</t>
    </r>
    <r>
      <rPr>
        <sz val="11"/>
        <color theme="1"/>
        <rFont val="Calibri"/>
        <family val="2"/>
        <charset val="161"/>
        <scheme val="minor"/>
      </rPr>
      <t xml:space="preserve"> </t>
    </r>
  </si>
  <si>
    <t>House area [m^2]</t>
  </si>
  <si>
    <t>Heat Pump Calculation</t>
  </si>
  <si>
    <t>Heat Pump €/m^2 user defined</t>
  </si>
  <si>
    <t>Pipes €/m^2 user defined</t>
  </si>
  <si>
    <t>Heat Pump €/m^2 default</t>
  </si>
  <si>
    <t>Pipes €/m^2  default</t>
  </si>
  <si>
    <t>DHW</t>
  </si>
  <si>
    <t>DHW default €/m^2</t>
  </si>
  <si>
    <t>DHW user defined €/m^2</t>
  </si>
  <si>
    <t xml:space="preserve">Total  </t>
  </si>
  <si>
    <t>Existing  A/C</t>
  </si>
  <si>
    <t>area per A/C unit</t>
  </si>
  <si>
    <t xml:space="preserve">Total A/C units </t>
  </si>
  <si>
    <t xml:space="preserve">New A/C units </t>
  </si>
  <si>
    <t xml:space="preserve">A/C cost default </t>
  </si>
  <si>
    <t>A/C cost user defined</t>
  </si>
  <si>
    <t>Total cost</t>
  </si>
  <si>
    <r>
      <t xml:space="preserve">ΚΕΝΑΚ </t>
    </r>
    <r>
      <rPr>
        <sz val="11"/>
        <color theme="1"/>
        <rFont val="Calibri"/>
        <family val="2"/>
        <charset val="161"/>
      </rPr>
      <t>€/m^2 user defined</t>
    </r>
  </si>
  <si>
    <r>
      <t xml:space="preserve">Total price for ΚΕΝΑΚ study </t>
    </r>
    <r>
      <rPr>
        <sz val="11"/>
        <color theme="1"/>
        <rFont val="Calibri"/>
        <family val="2"/>
        <charset val="161"/>
      </rPr>
      <t>€</t>
    </r>
  </si>
  <si>
    <r>
      <t xml:space="preserve">Total price for PH study </t>
    </r>
    <r>
      <rPr>
        <sz val="11"/>
        <color theme="1"/>
        <rFont val="Calibri"/>
        <family val="2"/>
        <charset val="161"/>
      </rPr>
      <t>€</t>
    </r>
  </si>
  <si>
    <t>Values</t>
  </si>
  <si>
    <t>UNIT</t>
  </si>
  <si>
    <t>Total wall area [m2]</t>
  </si>
  <si>
    <t>Total roof area  [m2]</t>
  </si>
  <si>
    <t>Total ground area [m2]</t>
  </si>
  <si>
    <t>Total exposed area [m2]</t>
  </si>
  <si>
    <t>Window area</t>
  </si>
  <si>
    <t>Window door area</t>
  </si>
  <si>
    <t>Window area&lt; wall area</t>
  </si>
  <si>
    <t>Parapet area (perimeter) m^2</t>
  </si>
  <si>
    <t>Price/m2</t>
  </si>
  <si>
    <t>Parapet area (above) m^2</t>
  </si>
  <si>
    <t>Airtightness</t>
  </si>
  <si>
    <t>Windows</t>
  </si>
  <si>
    <t>Ventilation</t>
  </si>
  <si>
    <t xml:space="preserve">Price window </t>
  </si>
  <si>
    <t>Price window door</t>
  </si>
  <si>
    <t xml:space="preserve">Results for KENAK house </t>
  </si>
  <si>
    <t>Insulation</t>
  </si>
  <si>
    <t>external wall thickness</t>
  </si>
  <si>
    <t>internal wall thickness</t>
  </si>
  <si>
    <t>Total roof area  with internal insulation</t>
  </si>
  <si>
    <r>
      <t>Final selection EPS 200/mineral wool  [</t>
    </r>
    <r>
      <rPr>
        <sz val="11"/>
        <color theme="1"/>
        <rFont val="Calibri"/>
        <family val="2"/>
        <charset val="161"/>
      </rPr>
      <t>€</t>
    </r>
    <r>
      <rPr>
        <sz val="11"/>
        <color theme="1"/>
        <rFont val="Calibri"/>
        <family val="2"/>
        <charset val="161"/>
        <scheme val="minor"/>
      </rPr>
      <t xml:space="preserve">/ m^3] </t>
    </r>
  </si>
  <si>
    <t>External insulation</t>
  </si>
  <si>
    <t>Passive house data</t>
  </si>
  <si>
    <r>
      <t>Final selection EPS 80 [</t>
    </r>
    <r>
      <rPr>
        <sz val="11"/>
        <color theme="1"/>
        <rFont val="Calibri"/>
        <family val="2"/>
        <charset val="161"/>
      </rPr>
      <t>€</t>
    </r>
    <r>
      <rPr>
        <sz val="11"/>
        <color theme="1"/>
        <rFont val="Calibri"/>
        <family val="2"/>
        <charset val="161"/>
        <scheme val="minor"/>
      </rPr>
      <t xml:space="preserve">/ m^3] </t>
    </r>
  </si>
  <si>
    <t xml:space="preserve">κόστος υπολοίπων υιικών για οροφή </t>
  </si>
  <si>
    <t>Έστω τυπική τοιχοποιία Ξύλινη με πετροβάμαβακα 75 mm</t>
  </si>
  <si>
    <t>Total wall area  with internal insulation</t>
  </si>
  <si>
    <r>
      <t>Final selection EPS 80/mineral wool  [</t>
    </r>
    <r>
      <rPr>
        <sz val="11"/>
        <color theme="1"/>
        <rFont val="Calibri"/>
        <family val="2"/>
        <charset val="161"/>
      </rPr>
      <t>€</t>
    </r>
    <r>
      <rPr>
        <sz val="11"/>
        <color theme="1"/>
        <rFont val="Calibri"/>
        <family val="2"/>
        <charset val="161"/>
        <scheme val="minor"/>
      </rPr>
      <t xml:space="preserve">/ m^3] </t>
    </r>
  </si>
  <si>
    <t>Πόσες μπαλκονόπορτες διαθέτει το σπίτι;</t>
  </si>
  <si>
    <t>Αν είναι διαμέρισμα επιλέξτε όροφο</t>
  </si>
  <si>
    <t>Dose the building borders on ventilated spaces? If so on how many sides?</t>
  </si>
  <si>
    <t>Συνορεύει το κτήριο με θερμαινόμενους χώρους πχ άλλα γειτονικά; Αν ναι σε πόσες πλευρές;</t>
  </si>
  <si>
    <t xml:space="preserve">Είναι ήδη μονωμένοι οι τοίχοι του σπιτιού; Αν ναι πόσα  [cm] μόνωσης έχει  </t>
  </si>
  <si>
    <t xml:space="preserve">Είναι ήδη μονωμένη η οροφή; Αν ναι πόσα  [cm] μόνωσης έχει  </t>
  </si>
  <si>
    <t xml:space="preserve">Το δάπεδο είναι σε επαφή με πιοτή (1) ή μη θερμαινόμενο χώρο (2) ή Άλλο που δεν θα μονωθεί (3); </t>
  </si>
  <si>
    <t>Cost of wall insulation [€/m^2]</t>
  </si>
  <si>
    <t>Cost of roof insulation [€/m^2]</t>
  </si>
  <si>
    <t>Cost of ground slab insulation [€/m^2]</t>
  </si>
  <si>
    <t xml:space="preserve">Τιμή μπαλκονόπορτας Αλουμινίου ΚΕΝΑΚ [€/m^2] </t>
  </si>
  <si>
    <t>Τιμή μπαλκονόπορτας κουφώματος PVC ΚΕΝΑΚ [€/m^2]</t>
  </si>
  <si>
    <t>Ventilation costs [€/piece]</t>
  </si>
  <si>
    <t>Σκληρή πολυστερίνη Φ160</t>
  </si>
  <si>
    <t>Ventilation system  [€]</t>
  </si>
  <si>
    <t>Εργατικά εγκατάστασης ανά κλιματιστικό  [€]</t>
  </si>
  <si>
    <t xml:space="preserve">values from user [€/m^2] </t>
  </si>
  <si>
    <t>Passive House</t>
  </si>
  <si>
    <t>Height [mm]</t>
  </si>
  <si>
    <t>Average window door frame price/ m</t>
  </si>
  <si>
    <t>Average window price/ m^2</t>
  </si>
  <si>
    <t>window door Energeto 5000 3λ +double glaze</t>
  </si>
  <si>
    <t xml:space="preserve">Cost calculation Passive </t>
  </si>
  <si>
    <t>Average window door price/ m^2</t>
  </si>
  <si>
    <t>installation price  / m^2</t>
  </si>
  <si>
    <t># Στομίων SUP</t>
  </si>
  <si>
    <t># Στομίων EXTR</t>
  </si>
  <si>
    <t xml:space="preserve">External air port </t>
  </si>
  <si>
    <r>
      <t>Price for airtightness</t>
    </r>
    <r>
      <rPr>
        <b/>
        <sz val="11"/>
        <color theme="1"/>
        <rFont val="Calibri"/>
        <family val="2"/>
        <charset val="161"/>
        <scheme val="minor"/>
      </rPr>
      <t xml:space="preserve"> passive </t>
    </r>
  </si>
  <si>
    <t>Installation  €  default</t>
  </si>
  <si>
    <t>Installation  € user defined</t>
  </si>
  <si>
    <t xml:space="preserve">Passive House </t>
  </si>
  <si>
    <t>Installation default €</t>
  </si>
  <si>
    <t>Installation user defined €</t>
  </si>
  <si>
    <t xml:space="preserve">installation cost per A/C unit default </t>
  </si>
  <si>
    <t>installation cost per A/C unit user defined</t>
  </si>
  <si>
    <t>Passive house €/m^2 default</t>
  </si>
  <si>
    <t>Passive House  €/m^2 user defined</t>
  </si>
  <si>
    <t>External Insulation thickness D [mm]</t>
  </si>
  <si>
    <t xml:space="preserve">Type of wall insulation </t>
  </si>
  <si>
    <t xml:space="preserve">Material </t>
  </si>
  <si>
    <t xml:space="preserve">Roof </t>
  </si>
  <si>
    <t>Ground</t>
  </si>
  <si>
    <t>Internal Insulation thickness D mm</t>
  </si>
  <si>
    <t>Internal Insulation thickness D [mm]</t>
  </si>
  <si>
    <t xml:space="preserve">External Pilot [mm] </t>
  </si>
  <si>
    <t xml:space="preserve">External Bas [mm] </t>
  </si>
  <si>
    <t>Basement external Insulation thickness D [mm]</t>
  </si>
  <si>
    <t>Pilot external Insulation thickness D [mm]</t>
  </si>
  <si>
    <t>-</t>
  </si>
  <si>
    <t xml:space="preserve">Frame foam [m] </t>
  </si>
  <si>
    <t>Window area [m^2]</t>
  </si>
  <si>
    <t>Window door area [m^2]</t>
  </si>
  <si>
    <t>Ground Insulation area [m^2]</t>
  </si>
  <si>
    <t>Roof Insulation area [m^2]</t>
  </si>
  <si>
    <t>Wall Insulation area [m^2]</t>
  </si>
  <si>
    <t>Heating - Cooling - DHW</t>
  </si>
  <si>
    <t xml:space="preserve">gypboard instalation </t>
  </si>
  <si>
    <t xml:space="preserve">υλικά </t>
  </si>
  <si>
    <t xml:space="preserve">εργασία </t>
  </si>
  <si>
    <t xml:space="preserve">ΔΕΣ αν θα είναι όλη </t>
  </si>
  <si>
    <t xml:space="preserve">Εργατικά </t>
  </si>
  <si>
    <t xml:space="preserve">ευρω </t>
  </si>
  <si>
    <t>Ποσοστό τοίχου με εσωτερική μόνωση</t>
  </si>
  <si>
    <t>Ποσοστό οροφής με εσωτερική μόνωση</t>
  </si>
  <si>
    <t xml:space="preserve">wall area with external insulation </t>
  </si>
  <si>
    <t xml:space="preserve">roof area with internal insulation </t>
  </si>
  <si>
    <t xml:space="preserve">roof area with external insulation </t>
  </si>
  <si>
    <t xml:space="preserve">Ποσοστό οροφής προς ταράτσα </t>
  </si>
  <si>
    <t>insulation price default  [ €/ m^3] ext.</t>
  </si>
  <si>
    <t xml:space="preserve">insulation price default  [ €/ m^3] int. </t>
  </si>
  <si>
    <t xml:space="preserve">Ποσοστό  πιλοτής που θα μονωθεί </t>
  </si>
  <si>
    <t xml:space="preserve">Extra labor price </t>
  </si>
  <si>
    <t xml:space="preserve">Total area with internal insulation </t>
  </si>
  <si>
    <t xml:space="preserve">Airtightness membrane </t>
  </si>
  <si>
    <t xml:space="preserve">wall area with internal insulation with / without windows </t>
  </si>
  <si>
    <t>Percentage of wall with internal insulation</t>
  </si>
  <si>
    <t>Percentage of roof with internal insulation</t>
  </si>
  <si>
    <t>Percentage of pilot to be insulated</t>
  </si>
  <si>
    <t>Total €</t>
  </si>
  <si>
    <t>Total €/m^2</t>
  </si>
  <si>
    <t>HVAC systems</t>
  </si>
  <si>
    <t>Total price [€]</t>
  </si>
  <si>
    <t>Percentage of roof to be insulated</t>
  </si>
  <si>
    <t xml:space="preserve">Cost of PVC  window door  Passivhaus [€/m^2] </t>
  </si>
  <si>
    <t>€/item user defined</t>
  </si>
  <si>
    <t xml:space="preserve">Cost of  renovation </t>
  </si>
  <si>
    <t xml:space="preserve">Results for PASIVE house </t>
  </si>
  <si>
    <t xml:space="preserve">Final renovation choices </t>
  </si>
  <si>
    <t xml:space="preserve">System for heating and cooling </t>
  </si>
  <si>
    <t>system for DHW</t>
  </si>
  <si>
    <t>Airtightness membrane [m]</t>
  </si>
  <si>
    <t xml:space="preserve">Study </t>
  </si>
  <si>
    <t>The roof insulation will be external (1) or internal (2), both (3)?</t>
  </si>
  <si>
    <t>The wall insulation will be external (1) or internal (2), both (3)?</t>
  </si>
  <si>
    <t xml:space="preserve">Cost of aluminium window (frame &amp; glass) that covers the national standards  [€/m^2] </t>
  </si>
  <si>
    <t xml:space="preserve">Cost of aluminium window door  that covers the national standards [€/m^2] </t>
  </si>
  <si>
    <t xml:space="preserve">Cost of PVC  window   that covers the national standards [€/m^2] </t>
  </si>
  <si>
    <t xml:space="preserve">Cost of PVC window door  that covers the national standards [€/m^2] </t>
  </si>
  <si>
    <t>solar water heater for DHW  [€/m^2]</t>
  </si>
  <si>
    <t>price for the installation of the solar water heater [€]</t>
  </si>
  <si>
    <t>price for the installation of an air condition unit   [€]</t>
  </si>
  <si>
    <t>energy study based on the  national standards with certification  [€/m^2]</t>
  </si>
  <si>
    <t>energy study for Passivhaus with certification  [€/m^2]</t>
  </si>
  <si>
    <t xml:space="preserve">Country </t>
  </si>
  <si>
    <t>If the property is in Greece, select the climate zone according to the table. </t>
  </si>
  <si>
    <t>U [W/(m2K)</t>
  </si>
  <si>
    <t>d [mm]</t>
  </si>
  <si>
    <t xml:space="preserve">floor </t>
  </si>
  <si>
    <t>wall</t>
  </si>
  <si>
    <t>roof</t>
  </si>
  <si>
    <t xml:space="preserve">1- Austria </t>
  </si>
  <si>
    <t xml:space="preserve">2- Bulgaria </t>
  </si>
  <si>
    <t>3- France</t>
  </si>
  <si>
    <t xml:space="preserve">4- Germany </t>
  </si>
  <si>
    <t xml:space="preserve">6 -Netherlands  </t>
  </si>
  <si>
    <t>7- Spain</t>
  </si>
  <si>
    <t>Values of the cost and the required thickness of the insulation based on the national standard of each country </t>
  </si>
  <si>
    <t>Values of the costs of windows and window door frames for each country </t>
  </si>
  <si>
    <t>Values of the costs of Ventilation systems, for each country </t>
  </si>
  <si>
    <t>Values of the costs of Airtightness, for each country </t>
  </si>
  <si>
    <t>Values of the costs of study for each country </t>
  </si>
  <si>
    <t>Values of the costs of HVAC systems for each country </t>
  </si>
  <si>
    <t xml:space="preserve">If you have data for the Airtightness cost, or the property is not in Greece, please unlock the cells D81-86 to input the specific price of the components or the total price, based on personal offers or the following table </t>
  </si>
  <si>
    <t>Thickness of wall insulation, d [mm]</t>
  </si>
  <si>
    <t>Thickness of roof  insulation, d [mm]</t>
  </si>
  <si>
    <t>Thickness of ground slab insulation, d [mm]</t>
  </si>
  <si>
    <t>Total cost of insulation (with labour) for a house made with the  national standards [€]</t>
  </si>
  <si>
    <t>Total cost of insulation (with labour) for a Passivehaus [€]</t>
  </si>
  <si>
    <t>Total cost of window frames for Passivehouse €</t>
  </si>
  <si>
    <t>Total cost of window frames for a house made with the  national standards [€]</t>
  </si>
  <si>
    <t>Total price of Airtightness for a house made with the  national standards [€]</t>
  </si>
  <si>
    <t>Total price for Airtightness for a Passivehouse  [€]</t>
  </si>
  <si>
    <t>Total price of HVAC systems for a house made with the  national standards [€]</t>
  </si>
  <si>
    <t>Total price of HVAC systems for a Passivehouse [€]</t>
  </si>
  <si>
    <t xml:space="preserve">If you have data for the cost of the study, or the property is not in Greece please unlock the cells D102-104 to input the specific price, based on personal offers or the following table </t>
  </si>
  <si>
    <r>
      <t>Additional Renovation cost (of PH) [</t>
    </r>
    <r>
      <rPr>
        <sz val="11"/>
        <color theme="1"/>
        <rFont val="Calibri"/>
        <family val="2"/>
        <charset val="161"/>
      </rPr>
      <t>€</t>
    </r>
    <r>
      <rPr>
        <sz val="11"/>
        <color theme="1"/>
        <rFont val="Calibri"/>
        <family val="2"/>
        <charset val="161"/>
        <scheme val="minor"/>
      </rPr>
      <t>]</t>
    </r>
  </si>
  <si>
    <t>Additional Renovation cost (abs) [%]</t>
  </si>
  <si>
    <t xml:space="preserve">Ventilation system (example system) </t>
  </si>
  <si>
    <t>Building Height [m]</t>
  </si>
  <si>
    <t>Είδος κατασκευής Τοιχοποιίας</t>
  </si>
  <si>
    <t>Οι τοίχοι θα  μονωθούν εξωτερικά (1) ή εσωτερικά (2) ή συνδυασμός (3);</t>
  </si>
  <si>
    <t>Η οροφή θα  μονωθεί εξωτερικά (1) ή εσωτερικά (2)ή συνδυασμός (3);</t>
  </si>
  <si>
    <t>Total exposed area without ground</t>
  </si>
  <si>
    <t xml:space="preserve">If you have data for the cost of the windows and windows doors frames, or the property it is not in Greece, please unlock the cells D56-63 to input the specific price of the frame or the total price based on personal offers or the following table </t>
  </si>
  <si>
    <t xml:space="preserve">If you have data for the cost of Ventilation, or the property is not in Greece, please unlock the cells D67-77 to input the specific price of the components or the total price, based on personal offers or the following table </t>
  </si>
  <si>
    <t>Στόμιοo απαγωγής  ανά τεμάχιο  [€]</t>
  </si>
  <si>
    <t>Στόμιοo προσαγωγής ανά τεμάχιο  [€]</t>
  </si>
  <si>
    <t xml:space="preserve">If you have data for the cost of the HVAC systems, or the property is not in Greece unlock the cells D90-98  to input the specific price of the components or the total price, based on personal offers or the following table </t>
  </si>
  <si>
    <t>If you have data for the cost and the thickness of insulation (from offers) or the property is not in Greece unlock the cells D44-52 and fill out the necessary cell based on your personal data or the following table. </t>
  </si>
  <si>
    <t>5- Greece</t>
  </si>
  <si>
    <t>instalation cost of Ventilation [€]</t>
  </si>
  <si>
    <r>
      <rPr>
        <b/>
        <sz val="11"/>
        <color theme="1"/>
        <rFont val="Calibri"/>
        <family val="2"/>
        <charset val="161"/>
        <scheme val="minor"/>
      </rPr>
      <t xml:space="preserve">Brief instructions of the Additional Renovation Cost Calculator: 
</t>
    </r>
    <r>
      <rPr>
        <sz val="11"/>
        <color theme="1"/>
        <rFont val="Calibri"/>
        <family val="2"/>
        <charset val="161"/>
        <scheme val="minor"/>
      </rPr>
      <t xml:space="preserve">The main purpose of this tool is to calculate and compare the cost of a renovation completed based on the national regulations and the Passivhaus standards.
The tool was originally created for Greece, but it can also be used for Austria, Bulgaria, France, Germany, the Netherlands, and Spain.
For all countries except Greece, the user should unhide the cells from rows 43-107 and enter the requested values based on the corresponding
tables. 
The user also has the ability to enter prices that have been received from personal offers by unhiding rows 43-107.  The results includes the material and instalation cost. 
</t>
    </r>
  </si>
  <si>
    <t>Thickness of wall insulation for the  national standards, d [mm]</t>
  </si>
  <si>
    <t>Thickness of roof  insulation for the  national standards, d [mm]</t>
  </si>
  <si>
    <t>Thickness of ground slab insulation for the  national standards, d [mm]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</si>
</sst>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_-* #,##0.00_-;\-* #,##0.00_-;_-* &quot;-&quot;??_-;_-@_-"/>
    <numFmt numFmtId="165" formatCode="#,##0.00\ &quot;€&quot;"/>
    <numFmt numFmtId="166" formatCode="#,##0.0\ &quot;€&quot;"/>
    <numFmt numFmtId="167" formatCode="#,##0.00000000000"/>
    <numFmt numFmtId="168" formatCode="#,##0.0\ [$€-1]"/>
    <numFmt numFmtId="169" formatCode="#,##0.00\ [$€-1]"/>
    <numFmt numFmtId="170" formatCode="#,##0.00\ [$€-408]"/>
    <numFmt numFmtId="171" formatCode="_ [$€-413]\ * #,##0.00_ ;_ [$€-413]\ * \-#,##0.00_ ;_ [$€-413]\ * &quot;-&quot;??_ ;_ @_ "/>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charset val="161"/>
      <scheme val="minor"/>
    </font>
    <font>
      <sz val="9"/>
      <color indexed="81"/>
      <name val="Tahoma"/>
      <family val="2"/>
      <charset val="161"/>
    </font>
    <font>
      <b/>
      <sz val="9"/>
      <color indexed="81"/>
      <name val="Tahoma"/>
      <family val="2"/>
      <charset val="161"/>
    </font>
    <font>
      <sz val="11"/>
      <color theme="1"/>
      <name val="Calibri"/>
      <family val="2"/>
      <charset val="161"/>
    </font>
    <font>
      <sz val="11"/>
      <color indexed="8"/>
      <name val="Calibri"/>
      <family val="2"/>
    </font>
    <font>
      <sz val="10"/>
      <color indexed="8"/>
      <name val="Arial"/>
      <family val="2"/>
    </font>
    <font>
      <b/>
      <sz val="11"/>
      <color theme="1"/>
      <name val="Calibri"/>
      <family val="2"/>
      <charset val="161"/>
      <scheme val="minor"/>
    </font>
    <font>
      <sz val="11"/>
      <name val="Calibri"/>
      <family val="2"/>
      <charset val="161"/>
      <scheme val="minor"/>
    </font>
    <font>
      <sz val="11"/>
      <color rgb="FFC00000"/>
      <name val="Calibri"/>
      <family val="2"/>
      <charset val="161"/>
      <scheme val="minor"/>
    </font>
    <font>
      <sz val="10"/>
      <color rgb="FF202124"/>
      <name val="Arial"/>
      <family val="2"/>
      <charset val="161"/>
    </font>
    <font>
      <sz val="11"/>
      <color theme="1"/>
      <name val="Calibri"/>
      <family val="2"/>
      <charset val="161"/>
      <scheme val="minor"/>
    </font>
    <font>
      <sz val="10"/>
      <color theme="1"/>
      <name val="Arial"/>
      <family val="2"/>
      <charset val="161"/>
    </font>
    <font>
      <sz val="10"/>
      <name val="Arial"/>
      <family val="2"/>
      <charset val="161"/>
    </font>
    <font>
      <sz val="10"/>
      <color theme="1"/>
      <name val="Calibri"/>
      <family val="2"/>
      <charset val="161"/>
    </font>
    <font>
      <sz val="11"/>
      <color theme="0" tint="-0.499984740745262"/>
      <name val="Calibri"/>
      <family val="2"/>
      <charset val="161"/>
      <scheme val="minor"/>
    </font>
    <font>
      <sz val="11"/>
      <color theme="5" tint="-0.249977111117893"/>
      <name val="Calibri"/>
      <family val="2"/>
      <charset val="161"/>
      <scheme val="minor"/>
    </font>
    <font>
      <sz val="9"/>
      <color indexed="81"/>
      <name val="Calibri"/>
      <family val="2"/>
      <charset val="161"/>
    </font>
    <font>
      <sz val="9"/>
      <color indexed="81"/>
      <name val="Tahoma"/>
      <charset val="1"/>
    </font>
    <font>
      <b/>
      <sz val="9"/>
      <color indexed="81"/>
      <name val="Tahoma"/>
      <charset val="1"/>
    </font>
  </fonts>
  <fills count="12">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rgb="FFD3FBD3"/>
        <bgColor indexed="64"/>
      </patternFill>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right style="thin">
        <color rgb="FFFF0000"/>
      </right>
      <top/>
      <bottom/>
      <diagonal/>
    </border>
    <border>
      <left/>
      <right style="thin">
        <color rgb="FFFF0000"/>
      </right>
      <top style="thin">
        <color auto="1"/>
      </top>
      <bottom/>
      <diagonal/>
    </border>
    <border>
      <left style="thin">
        <color rgb="FFFF0000"/>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3">
    <xf numFmtId="0" fontId="0" fillId="0" borderId="0"/>
    <xf numFmtId="0" fontId="10" fillId="0" borderId="0"/>
    <xf numFmtId="9" fontId="16" fillId="0" borderId="0" applyFont="0" applyFill="0" applyBorder="0" applyAlignment="0" applyProtection="0"/>
    <xf numFmtId="0" fontId="5" fillId="0" borderId="0"/>
    <xf numFmtId="0" fontId="16" fillId="0" borderId="0"/>
    <xf numFmtId="9" fontId="16" fillId="0" borderId="0" applyFont="0" applyFill="0" applyBorder="0" applyAlignment="0" applyProtection="0"/>
    <xf numFmtId="0" fontId="4" fillId="0" borderId="0"/>
    <xf numFmtId="0" fontId="4" fillId="0" borderId="0"/>
    <xf numFmtId="0" fontId="3" fillId="0" borderId="0"/>
    <xf numFmtId="0" fontId="16" fillId="0" borderId="0"/>
    <xf numFmtId="9" fontId="16"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cellStyleXfs>
  <cellXfs count="285">
    <xf numFmtId="0" fontId="0" fillId="0" borderId="0" xfId="0"/>
    <xf numFmtId="0" fontId="0" fillId="0" borderId="0" xfId="0" applyBorder="1"/>
    <xf numFmtId="0" fontId="0" fillId="4" borderId="1" xfId="0" applyFill="1" applyBorder="1"/>
    <xf numFmtId="0" fontId="0" fillId="0" borderId="1" xfId="0" applyBorder="1"/>
    <xf numFmtId="0" fontId="0" fillId="0" borderId="1" xfId="0" applyFill="1" applyBorder="1"/>
    <xf numFmtId="0" fontId="9" fillId="0" borderId="1" xfId="0" applyFont="1" applyBorder="1"/>
    <xf numFmtId="0" fontId="0" fillId="4" borderId="4" xfId="0" applyFill="1" applyBorder="1"/>
    <xf numFmtId="0" fontId="0" fillId="0" borderId="1" xfId="0" applyBorder="1" applyAlignment="1">
      <alignment horizontal="center" vertical="center"/>
    </xf>
    <xf numFmtId="165" fontId="0" fillId="4" borderId="1" xfId="0" applyNumberFormat="1" applyFill="1" applyBorder="1"/>
    <xf numFmtId="0" fontId="0" fillId="0" borderId="2" xfId="0" applyBorder="1"/>
    <xf numFmtId="0" fontId="6" fillId="0" borderId="1" xfId="0" applyFont="1" applyFill="1" applyBorder="1"/>
    <xf numFmtId="0" fontId="11" fillId="0" borderId="2" xfId="1" applyFont="1" applyBorder="1" applyAlignment="1">
      <alignment horizontal="left" vertical="center"/>
    </xf>
    <xf numFmtId="9" fontId="11" fillId="0" borderId="1" xfId="1" applyNumberFormat="1" applyFont="1" applyBorder="1" applyAlignment="1" applyProtection="1">
      <alignment horizontal="center" vertical="center"/>
    </xf>
    <xf numFmtId="0" fontId="11" fillId="0" borderId="1" xfId="1" applyFont="1" applyBorder="1" applyAlignment="1" applyProtection="1">
      <alignment horizontal="center" vertical="center"/>
    </xf>
    <xf numFmtId="0" fontId="0" fillId="0" borderId="1" xfId="0" applyBorder="1" applyAlignment="1">
      <alignment horizontal="center" wrapText="1"/>
    </xf>
    <xf numFmtId="0" fontId="13" fillId="0" borderId="0" xfId="0" applyFont="1"/>
    <xf numFmtId="44" fontId="0" fillId="0" borderId="0" xfId="0" applyNumberFormat="1"/>
    <xf numFmtId="0" fontId="0" fillId="0" borderId="0" xfId="0" applyBorder="1" applyAlignment="1">
      <alignment horizontal="center"/>
    </xf>
    <xf numFmtId="0" fontId="0" fillId="0" borderId="5" xfId="0" applyBorder="1"/>
    <xf numFmtId="0" fontId="0" fillId="0" borderId="0" xfId="0" applyFont="1"/>
    <xf numFmtId="166" fontId="0" fillId="4" borderId="1" xfId="0" applyNumberFormat="1" applyFill="1" applyBorder="1"/>
    <xf numFmtId="0" fontId="14" fillId="0" borderId="1" xfId="0" applyFont="1" applyFill="1" applyBorder="1"/>
    <xf numFmtId="0" fontId="14" fillId="0" borderId="0" xfId="0" applyFont="1"/>
    <xf numFmtId="166" fontId="0" fillId="0" borderId="1" xfId="0" applyNumberFormat="1" applyBorder="1"/>
    <xf numFmtId="166" fontId="0" fillId="0" borderId="1" xfId="0" applyNumberFormat="1" applyFill="1" applyBorder="1"/>
    <xf numFmtId="0" fontId="0" fillId="5" borderId="1" xfId="0" applyFill="1" applyBorder="1"/>
    <xf numFmtId="0" fontId="0" fillId="5" borderId="5" xfId="0" applyFill="1" applyBorder="1"/>
    <xf numFmtId="0" fontId="0" fillId="0" borderId="5" xfId="0" applyBorder="1" applyAlignment="1">
      <alignment horizontal="center" wrapText="1"/>
    </xf>
    <xf numFmtId="166" fontId="0" fillId="0" borderId="5" xfId="0" applyNumberFormat="1" applyFill="1" applyBorder="1"/>
    <xf numFmtId="0" fontId="0" fillId="0" borderId="0" xfId="0" applyBorder="1" applyAlignment="1">
      <alignment horizontal="center" wrapText="1"/>
    </xf>
    <xf numFmtId="166" fontId="0" fillId="0" borderId="5" xfId="0" applyNumberFormat="1" applyFill="1" applyBorder="1" applyAlignment="1">
      <alignment vertical="center"/>
    </xf>
    <xf numFmtId="166" fontId="0" fillId="0" borderId="1" xfId="0" applyNumberFormat="1" applyFill="1" applyBorder="1" applyAlignment="1">
      <alignment vertical="center"/>
    </xf>
    <xf numFmtId="166" fontId="0" fillId="4" borderId="1" xfId="0" applyNumberFormat="1" applyFill="1" applyBorder="1" applyAlignment="1">
      <alignment vertical="center"/>
    </xf>
    <xf numFmtId="0" fontId="6" fillId="0" borderId="1" xfId="0" applyFont="1" applyBorder="1" applyAlignment="1">
      <alignment horizontal="center" wrapText="1"/>
    </xf>
    <xf numFmtId="166" fontId="6" fillId="0" borderId="5" xfId="0" applyNumberFormat="1" applyFont="1" applyFill="1" applyBorder="1" applyAlignment="1">
      <alignment vertical="center"/>
    </xf>
    <xf numFmtId="0" fontId="0" fillId="9" borderId="0" xfId="0" applyFill="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0" xfId="0" applyBorder="1" applyAlignment="1">
      <alignment horizontal="center" vertical="center"/>
    </xf>
    <xf numFmtId="0" fontId="0" fillId="4" borderId="1" xfId="0" applyFill="1" applyBorder="1" applyAlignment="1">
      <alignment horizontal="center" vertical="center"/>
    </xf>
    <xf numFmtId="0" fontId="15" fillId="0" borderId="0" xfId="0" applyFont="1"/>
    <xf numFmtId="0" fontId="6" fillId="0" borderId="0" xfId="0" applyFont="1"/>
    <xf numFmtId="0" fontId="14" fillId="0" borderId="1" xfId="0" applyFont="1" applyBorder="1"/>
    <xf numFmtId="0" fontId="0" fillId="11" borderId="1" xfId="0" applyFill="1" applyBorder="1"/>
    <xf numFmtId="0" fontId="0" fillId="11" borderId="5" xfId="0" applyFill="1" applyBorder="1"/>
    <xf numFmtId="0" fontId="13" fillId="0" borderId="1" xfId="0" applyFont="1" applyFill="1" applyBorder="1"/>
    <xf numFmtId="0" fontId="14" fillId="0" borderId="1" xfId="0" applyFont="1" applyFill="1" applyBorder="1" applyAlignment="1">
      <alignment horizontal="center" vertical="center"/>
    </xf>
    <xf numFmtId="0" fontId="14" fillId="0" borderId="1" xfId="0" applyFont="1" applyFill="1" applyBorder="1" applyAlignment="1">
      <alignment horizontal="center"/>
    </xf>
    <xf numFmtId="0" fontId="6" fillId="0" borderId="1" xfId="0" applyFont="1" applyBorder="1" applyAlignment="1">
      <alignment horizontal="center"/>
    </xf>
    <xf numFmtId="0" fontId="0" fillId="0" borderId="1" xfId="0" applyBorder="1" applyAlignment="1">
      <alignment horizontal="right"/>
    </xf>
    <xf numFmtId="0" fontId="6" fillId="0" borderId="1" xfId="0" applyFont="1" applyBorder="1" applyAlignment="1"/>
    <xf numFmtId="0" fontId="0" fillId="0" borderId="1" xfId="0" applyBorder="1" applyAlignment="1"/>
    <xf numFmtId="0" fontId="13" fillId="0" borderId="1" xfId="0" applyFont="1" applyBorder="1"/>
    <xf numFmtId="165" fontId="0" fillId="0" borderId="0" xfId="0" applyNumberFormat="1"/>
    <xf numFmtId="165" fontId="0" fillId="7" borderId="1" xfId="0" applyNumberFormat="1" applyFill="1" applyBorder="1" applyAlignment="1">
      <alignment horizontal="center" wrapText="1"/>
    </xf>
    <xf numFmtId="0" fontId="0" fillId="0" borderId="0" xfId="0" applyAlignment="1">
      <alignment horizontal="right" vertical="center"/>
    </xf>
    <xf numFmtId="0" fontId="6" fillId="0" borderId="2" xfId="0" applyFont="1" applyBorder="1"/>
    <xf numFmtId="0" fontId="14" fillId="0" borderId="1" xfId="0" applyFont="1" applyBorder="1" applyAlignment="1">
      <alignment horizontal="center" vertical="center"/>
    </xf>
    <xf numFmtId="0" fontId="0" fillId="0" borderId="1" xfId="0" applyBorder="1" applyAlignment="1">
      <alignment horizontal="center"/>
    </xf>
    <xf numFmtId="0" fontId="6" fillId="3" borderId="1" xfId="0" applyFont="1" applyFill="1" applyBorder="1"/>
    <xf numFmtId="0" fontId="6" fillId="0" borderId="1" xfId="0" applyFont="1" applyBorder="1"/>
    <xf numFmtId="0" fontId="6" fillId="4" borderId="1" xfId="0" applyFont="1" applyFill="1" applyBorder="1"/>
    <xf numFmtId="0" fontId="6" fillId="7" borderId="1" xfId="0" applyFont="1" applyFill="1" applyBorder="1"/>
    <xf numFmtId="0" fontId="0" fillId="0" borderId="4" xfId="0" applyFill="1" applyBorder="1"/>
    <xf numFmtId="165" fontId="0" fillId="6" borderId="1" xfId="0" applyNumberFormat="1" applyFill="1" applyBorder="1"/>
    <xf numFmtId="44" fontId="0" fillId="6" borderId="1" xfId="0" applyNumberFormat="1" applyFill="1" applyBorder="1"/>
    <xf numFmtId="44" fontId="0" fillId="4" borderId="1" xfId="0" applyNumberFormat="1" applyFill="1"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Fill="1" applyBorder="1" applyAlignment="1">
      <alignment horizontal="center" wrapText="1"/>
    </xf>
    <xf numFmtId="0" fontId="17" fillId="0" borderId="2" xfId="0" applyFont="1" applyBorder="1" applyAlignment="1">
      <alignment horizontal="center" vertical="center"/>
    </xf>
    <xf numFmtId="0" fontId="17" fillId="0" borderId="0" xfId="0" applyFont="1" applyBorder="1" applyAlignment="1">
      <alignment horizontal="center" vertical="center" wrapText="1"/>
    </xf>
    <xf numFmtId="0" fontId="18" fillId="0" borderId="2" xfId="0" applyFont="1" applyBorder="1" applyAlignment="1">
      <alignment horizontal="center" vertical="center"/>
    </xf>
    <xf numFmtId="0" fontId="0" fillId="0" borderId="0" xfId="0" applyBorder="1" applyAlignment="1">
      <alignment horizontal="center" vertical="center" wrapText="1"/>
    </xf>
    <xf numFmtId="0" fontId="0" fillId="0" borderId="1" xfId="0" applyBorder="1" applyAlignment="1">
      <alignment horizontal="left"/>
    </xf>
    <xf numFmtId="0" fontId="0" fillId="0" borderId="0" xfId="0" applyAlignment="1">
      <alignment wrapText="1"/>
    </xf>
    <xf numFmtId="0" fontId="13" fillId="0" borderId="0" xfId="0" applyFont="1" applyBorder="1"/>
    <xf numFmtId="0" fontId="13" fillId="0" borderId="0" xfId="0" applyFont="1" applyFill="1" applyBorder="1"/>
    <xf numFmtId="0" fontId="18" fillId="0" borderId="1" xfId="0" applyFont="1" applyFill="1" applyBorder="1" applyAlignment="1">
      <alignment horizontal="center" vertical="center"/>
    </xf>
    <xf numFmtId="165" fontId="0" fillId="0" borderId="0" xfId="0" applyNumberFormat="1" applyBorder="1" applyAlignment="1">
      <alignment horizontal="center"/>
    </xf>
    <xf numFmtId="165" fontId="0" fillId="4" borderId="1" xfId="0" applyNumberFormat="1" applyFill="1" applyBorder="1" applyAlignment="1">
      <alignment horizontal="center"/>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165" fontId="13" fillId="6" borderId="1" xfId="0" applyNumberFormat="1" applyFont="1" applyFill="1" applyBorder="1"/>
    <xf numFmtId="0" fontId="0" fillId="0" borderId="0" xfId="0" applyFill="1" applyBorder="1"/>
    <xf numFmtId="0" fontId="14" fillId="0" borderId="0" xfId="0" applyFont="1" applyFill="1" applyBorder="1" applyAlignment="1">
      <alignment horizontal="center"/>
    </xf>
    <xf numFmtId="0" fontId="17" fillId="0" borderId="1" xfId="0" applyFont="1" applyBorder="1" applyAlignment="1">
      <alignment horizontal="center" vertical="center" wrapText="1"/>
    </xf>
    <xf numFmtId="0" fontId="20" fillId="0" borderId="1" xfId="0" applyFont="1" applyBorder="1"/>
    <xf numFmtId="0" fontId="20" fillId="0" borderId="1" xfId="0" applyFont="1" applyBorder="1" applyAlignment="1">
      <alignment horizontal="center" wrapText="1"/>
    </xf>
    <xf numFmtId="166" fontId="20" fillId="0" borderId="1" xfId="0" applyNumberFormat="1" applyFont="1" applyFill="1" applyBorder="1"/>
    <xf numFmtId="0" fontId="14" fillId="4" borderId="1" xfId="0" applyFont="1" applyFill="1" applyBorder="1" applyAlignment="1">
      <alignment horizontal="center"/>
    </xf>
    <xf numFmtId="0" fontId="14" fillId="4" borderId="1" xfId="0" applyFont="1" applyFill="1" applyBorder="1" applyAlignment="1">
      <alignment horizontal="center" vertical="center"/>
    </xf>
    <xf numFmtId="0" fontId="13" fillId="0" borderId="1" xfId="0" applyFont="1" applyBorder="1" applyAlignment="1">
      <alignment horizontal="center" wrapText="1"/>
    </xf>
    <xf numFmtId="166" fontId="13" fillId="0" borderId="5" xfId="0" applyNumberFormat="1" applyFont="1" applyFill="1" applyBorder="1" applyAlignment="1">
      <alignment vertical="center"/>
    </xf>
    <xf numFmtId="0" fontId="0" fillId="0" borderId="4" xfId="0" applyBorder="1" applyAlignment="1">
      <alignment vertical="center"/>
    </xf>
    <xf numFmtId="0" fontId="13" fillId="0" borderId="1" xfId="0" applyFont="1" applyBorder="1" applyAlignment="1">
      <alignment horizontal="center" vertical="center" wrapText="1"/>
    </xf>
    <xf numFmtId="0" fontId="0" fillId="0" borderId="4" xfId="0" applyBorder="1" applyAlignment="1"/>
    <xf numFmtId="44" fontId="0" fillId="0" borderId="1" xfId="0" applyNumberFormat="1" applyBorder="1"/>
    <xf numFmtId="0" fontId="18" fillId="0" borderId="0" xfId="0" applyFont="1" applyFill="1" applyBorder="1" applyAlignment="1">
      <alignment horizontal="center" vertical="center"/>
    </xf>
    <xf numFmtId="9" fontId="11" fillId="0" borderId="1" xfId="1" applyNumberFormat="1" applyFont="1" applyFill="1" applyBorder="1" applyAlignment="1" applyProtection="1">
      <alignment horizontal="center" vertical="center"/>
    </xf>
    <xf numFmtId="0" fontId="11" fillId="0" borderId="1" xfId="1" applyFont="1" applyFill="1" applyBorder="1" applyAlignment="1" applyProtection="1">
      <alignment horizontal="center" vertical="center"/>
    </xf>
    <xf numFmtId="165" fontId="13" fillId="0" borderId="1" xfId="0" applyNumberFormat="1" applyFont="1" applyFill="1" applyBorder="1"/>
    <xf numFmtId="0" fontId="9" fillId="0" borderId="1" xfId="0" applyFont="1" applyBorder="1" applyAlignment="1">
      <alignment horizontal="center"/>
    </xf>
    <xf numFmtId="0" fontId="0" fillId="0" borderId="1" xfId="0" applyFill="1" applyBorder="1" applyAlignment="1">
      <alignment horizontal="right"/>
    </xf>
    <xf numFmtId="165" fontId="0" fillId="0" borderId="1" xfId="0" applyNumberFormat="1" applyFill="1" applyBorder="1"/>
    <xf numFmtId="0" fontId="0" fillId="0" borderId="0" xfId="0" applyFill="1" applyBorder="1" applyAlignment="1">
      <alignment vertical="center" wrapText="1"/>
    </xf>
    <xf numFmtId="0" fontId="18" fillId="0" borderId="1" xfId="0" applyFont="1" applyBorder="1" applyAlignment="1">
      <alignment horizontal="center" vertical="center"/>
    </xf>
    <xf numFmtId="0" fontId="0" fillId="0" borderId="1" xfId="0" applyFill="1" applyBorder="1" applyAlignment="1">
      <alignment horizontal="center" vertical="center" wrapText="1"/>
    </xf>
    <xf numFmtId="0" fontId="0" fillId="4" borderId="1" xfId="0" applyFill="1" applyBorder="1" applyAlignment="1">
      <alignment horizontal="right"/>
    </xf>
    <xf numFmtId="2" fontId="0" fillId="0" borderId="1" xfId="0" applyNumberFormat="1" applyFill="1" applyBorder="1" applyAlignment="1">
      <alignment vertical="center"/>
    </xf>
    <xf numFmtId="0" fontId="0" fillId="0" borderId="6" xfId="0" applyFont="1" applyBorder="1"/>
    <xf numFmtId="0" fontId="0" fillId="0" borderId="8" xfId="0" applyFont="1" applyBorder="1"/>
    <xf numFmtId="2" fontId="0" fillId="4" borderId="1" xfId="0" applyNumberFormat="1" applyFill="1" applyBorder="1"/>
    <xf numFmtId="0" fontId="0" fillId="0" borderId="0" xfId="0" applyBorder="1" applyAlignment="1"/>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wrapText="1"/>
    </xf>
    <xf numFmtId="0" fontId="0" fillId="0" borderId="1" xfId="0" applyFill="1" applyBorder="1" applyAlignment="1">
      <alignment horizontal="center"/>
    </xf>
    <xf numFmtId="0" fontId="0" fillId="0" borderId="0" xfId="0" applyFill="1" applyBorder="1" applyAlignment="1">
      <alignment horizontal="center"/>
    </xf>
    <xf numFmtId="0" fontId="0" fillId="0" borderId="4" xfId="0" applyBorder="1" applyAlignment="1">
      <alignment horizontal="center" vertical="center"/>
    </xf>
    <xf numFmtId="0" fontId="0" fillId="0" borderId="1" xfId="0" applyBorder="1" applyAlignment="1">
      <alignment wrapText="1"/>
    </xf>
    <xf numFmtId="0" fontId="17" fillId="0" borderId="2" xfId="0" applyFont="1" applyBorder="1" applyAlignment="1">
      <alignment horizontal="left" vertical="center"/>
    </xf>
    <xf numFmtId="0" fontId="14" fillId="0" borderId="4" xfId="0" applyFont="1" applyFill="1" applyBorder="1" applyAlignment="1">
      <alignment horizontal="center"/>
    </xf>
    <xf numFmtId="0" fontId="17" fillId="0" borderId="6" xfId="0" applyFont="1" applyBorder="1" applyAlignment="1">
      <alignment horizontal="left" vertical="center"/>
    </xf>
    <xf numFmtId="0" fontId="13" fillId="0" borderId="5" xfId="0" applyFont="1" applyFill="1" applyBorder="1"/>
    <xf numFmtId="0" fontId="0" fillId="0" borderId="1" xfId="0" applyFill="1" applyBorder="1" applyAlignment="1">
      <alignment horizontal="left"/>
    </xf>
    <xf numFmtId="0" fontId="17" fillId="0" borderId="1" xfId="0" applyFont="1" applyBorder="1" applyAlignment="1">
      <alignment horizontal="left" vertical="center" wrapText="1"/>
    </xf>
    <xf numFmtId="0" fontId="0" fillId="0" borderId="4" xfId="0" applyBorder="1"/>
    <xf numFmtId="0" fontId="0" fillId="0" borderId="5" xfId="0" applyFill="1"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0" fillId="0" borderId="7" xfId="0" applyBorder="1"/>
    <xf numFmtId="2" fontId="0" fillId="4" borderId="1" xfId="0" applyNumberFormat="1" applyFill="1" applyBorder="1" applyAlignment="1">
      <alignment horizontal="right"/>
    </xf>
    <xf numFmtId="0" fontId="0" fillId="4" borderId="1" xfId="0" applyNumberFormat="1" applyFill="1" applyBorder="1" applyAlignment="1">
      <alignment horizontal="right"/>
    </xf>
    <xf numFmtId="0" fontId="0" fillId="4" borderId="1" xfId="0" applyFill="1" applyBorder="1" applyAlignment="1">
      <alignment horizontal="center"/>
    </xf>
    <xf numFmtId="165" fontId="0" fillId="4" borderId="1" xfId="0" applyNumberFormat="1" applyFill="1" applyBorder="1" applyAlignment="1">
      <alignment horizontal="right"/>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2" xfId="0" applyFont="1" applyBorder="1" applyAlignment="1">
      <alignment horizontal="left" vertical="center" wrapText="1"/>
    </xf>
    <xf numFmtId="166" fontId="0" fillId="0" borderId="0" xfId="0" applyNumberFormat="1"/>
    <xf numFmtId="167" fontId="0" fillId="0" borderId="0" xfId="0" applyNumberFormat="1"/>
    <xf numFmtId="168" fontId="0" fillId="0" borderId="0" xfId="0" applyNumberFormat="1"/>
    <xf numFmtId="0" fontId="6" fillId="0" borderId="0" xfId="0" applyFont="1" applyAlignment="1">
      <alignment horizontal="right" vertical="center"/>
    </xf>
    <xf numFmtId="0" fontId="6" fillId="0" borderId="0" xfId="0" applyFont="1" applyBorder="1"/>
    <xf numFmtId="0" fontId="0" fillId="0" borderId="1" xfId="0" applyBorder="1" applyAlignment="1">
      <alignment horizontal="center"/>
    </xf>
    <xf numFmtId="169" fontId="0" fillId="0" borderId="1" xfId="0" applyNumberFormat="1" applyBorder="1"/>
    <xf numFmtId="0" fontId="0" fillId="0" borderId="1" xfId="0" applyBorder="1" applyAlignment="1">
      <alignment horizontal="center"/>
    </xf>
    <xf numFmtId="2" fontId="0" fillId="0" borderId="2" xfId="0" applyNumberFormat="1" applyBorder="1"/>
    <xf numFmtId="2" fontId="0" fillId="0" borderId="1" xfId="0" applyNumberFormat="1" applyBorder="1"/>
    <xf numFmtId="2" fontId="0" fillId="0" borderId="1" xfId="0" applyNumberFormat="1" applyBorder="1" applyAlignment="1">
      <alignment horizontal="right"/>
    </xf>
    <xf numFmtId="0" fontId="0" fillId="0" borderId="2" xfId="0" applyBorder="1" applyAlignment="1">
      <alignment horizontal="center"/>
    </xf>
    <xf numFmtId="0" fontId="6" fillId="0" borderId="0" xfId="0" applyFont="1" applyAlignment="1"/>
    <xf numFmtId="164" fontId="0" fillId="0" borderId="0" xfId="0" applyNumberFormat="1"/>
    <xf numFmtId="170" fontId="13" fillId="4" borderId="1" xfId="0" applyNumberFormat="1" applyFont="1" applyFill="1" applyBorder="1"/>
    <xf numFmtId="170" fontId="0" fillId="6" borderId="1" xfId="0" applyNumberFormat="1" applyFill="1" applyBorder="1"/>
    <xf numFmtId="165" fontId="0" fillId="0" borderId="1" xfId="0" applyNumberFormat="1" applyBorder="1" applyAlignment="1"/>
    <xf numFmtId="165" fontId="13" fillId="0" borderId="1" xfId="0" applyNumberFormat="1" applyFont="1" applyBorder="1" applyAlignment="1"/>
    <xf numFmtId="165" fontId="0" fillId="4" borderId="1" xfId="0" applyNumberFormat="1" applyFill="1" applyBorder="1" applyAlignment="1"/>
    <xf numFmtId="0" fontId="12" fillId="0" borderId="0" xfId="0" applyFont="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12" fillId="0" borderId="0" xfId="0" applyFont="1" applyFill="1" applyBorder="1"/>
    <xf numFmtId="0" fontId="12" fillId="0" borderId="0" xfId="0" applyFont="1" applyBorder="1" applyAlignment="1">
      <alignment horizontal="right"/>
    </xf>
    <xf numFmtId="0" fontId="0" fillId="0" borderId="1" xfId="0" applyBorder="1" applyAlignment="1">
      <alignment vertical="center"/>
    </xf>
    <xf numFmtId="0" fontId="4" fillId="0" borderId="0" xfId="6"/>
    <xf numFmtId="0" fontId="4" fillId="0" borderId="1" xfId="7" applyBorder="1"/>
    <xf numFmtId="0" fontId="4" fillId="0" borderId="0" xfId="7"/>
    <xf numFmtId="0" fontId="16" fillId="0" borderId="0" xfId="4"/>
    <xf numFmtId="0" fontId="16" fillId="0" borderId="0" xfId="4" applyBorder="1"/>
    <xf numFmtId="0" fontId="17" fillId="0" borderId="1" xfId="4" applyFont="1" applyBorder="1" applyAlignment="1">
      <alignment horizontal="center" vertical="center" wrapText="1"/>
    </xf>
    <xf numFmtId="0" fontId="16" fillId="0" borderId="0" xfId="4" applyBorder="1" applyAlignment="1"/>
    <xf numFmtId="0" fontId="16" fillId="0" borderId="1" xfId="4" applyBorder="1"/>
    <xf numFmtId="0" fontId="6" fillId="0" borderId="0" xfId="0" applyFont="1" applyBorder="1" applyAlignment="1">
      <alignment wrapText="1"/>
    </xf>
    <xf numFmtId="0" fontId="6" fillId="0" borderId="1" xfId="0" applyFont="1" applyBorder="1" applyAlignment="1">
      <alignment wrapText="1"/>
    </xf>
    <xf numFmtId="0" fontId="4" fillId="0" borderId="1" xfId="7" applyBorder="1" applyAlignment="1"/>
    <xf numFmtId="0" fontId="0" fillId="0" borderId="0" xfId="0" applyAlignment="1">
      <alignment vertical="top"/>
    </xf>
    <xf numFmtId="0" fontId="0" fillId="0" borderId="0" xfId="0" applyProtection="1"/>
    <xf numFmtId="0" fontId="17" fillId="0" borderId="2" xfId="0" applyFont="1" applyBorder="1" applyAlignment="1" applyProtection="1">
      <alignment horizontal="center" vertical="center"/>
    </xf>
    <xf numFmtId="0" fontId="17" fillId="0" borderId="1" xfId="0" applyFont="1" applyBorder="1" applyAlignment="1" applyProtection="1">
      <alignment horizontal="center" vertical="center" wrapText="1"/>
    </xf>
    <xf numFmtId="0" fontId="0" fillId="0" borderId="1" xfId="0" applyBorder="1" applyAlignment="1" applyProtection="1">
      <alignment horizontal="center"/>
    </xf>
    <xf numFmtId="0" fontId="0" fillId="3" borderId="1" xfId="0"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10" fontId="13" fillId="3" borderId="1" xfId="0" applyNumberFormat="1"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xf numFmtId="0" fontId="14" fillId="6" borderId="1" xfId="0" applyFont="1" applyFill="1" applyBorder="1" applyAlignment="1">
      <alignment horizontal="center" vertical="center"/>
    </xf>
    <xf numFmtId="171" fontId="0" fillId="0" borderId="1" xfId="9" applyNumberFormat="1" applyFont="1" applyBorder="1"/>
    <xf numFmtId="0" fontId="0" fillId="0" borderId="2" xfId="0" applyBorder="1" applyAlignment="1">
      <alignment horizontal="center" wrapText="1"/>
    </xf>
    <xf numFmtId="0" fontId="14" fillId="6" borderId="1" xfId="0" applyFont="1" applyFill="1" applyBorder="1" applyAlignment="1">
      <alignment horizontal="center"/>
    </xf>
    <xf numFmtId="171" fontId="16" fillId="0" borderId="1" xfId="9" applyNumberFormat="1" applyBorder="1"/>
    <xf numFmtId="171" fontId="3" fillId="0" borderId="1" xfId="13" applyNumberFormat="1" applyBorder="1"/>
    <xf numFmtId="0" fontId="0" fillId="0" borderId="1" xfId="0" applyFill="1" applyBorder="1" applyAlignment="1" applyProtection="1">
      <alignment horizontal="center" vertical="center"/>
      <protection locked="0"/>
    </xf>
    <xf numFmtId="0" fontId="0" fillId="0" borderId="0" xfId="0" applyAlignment="1">
      <alignment horizontal="right"/>
    </xf>
    <xf numFmtId="171" fontId="16" fillId="0" borderId="1" xfId="9" applyNumberFormat="1" applyBorder="1" applyAlignment="1">
      <alignment horizontal="right"/>
    </xf>
    <xf numFmtId="171" fontId="2" fillId="0" borderId="1" xfId="13" applyNumberFormat="1" applyFont="1" applyBorder="1"/>
    <xf numFmtId="171" fontId="0" fillId="0" borderId="1" xfId="9" applyNumberFormat="1" applyFont="1" applyBorder="1" applyAlignment="1">
      <alignment horizontal="right"/>
    </xf>
    <xf numFmtId="171" fontId="0" fillId="0" borderId="0" xfId="0" applyNumberFormat="1"/>
    <xf numFmtId="171" fontId="0" fillId="3" borderId="1" xfId="0" applyNumberFormat="1" applyFill="1" applyBorder="1" applyAlignment="1" applyProtection="1">
      <alignment horizontal="center"/>
      <protection locked="0"/>
    </xf>
    <xf numFmtId="171" fontId="16" fillId="0" borderId="1" xfId="9" applyNumberFormat="1" applyBorder="1"/>
    <xf numFmtId="171" fontId="2" fillId="0" borderId="1" xfId="17" applyNumberFormat="1" applyBorder="1"/>
    <xf numFmtId="171" fontId="16" fillId="0" borderId="1" xfId="9" applyNumberFormat="1" applyBorder="1"/>
    <xf numFmtId="171" fontId="16" fillId="0" borderId="1" xfId="9" applyNumberFormat="1" applyBorder="1"/>
    <xf numFmtId="171" fontId="16" fillId="0" borderId="1" xfId="9" applyNumberFormat="1" applyBorder="1"/>
    <xf numFmtId="171" fontId="16" fillId="0" borderId="1" xfId="9" applyNumberFormat="1" applyBorder="1"/>
    <xf numFmtId="171" fontId="3" fillId="0" borderId="1" xfId="13" applyNumberFormat="1" applyFill="1" applyBorder="1"/>
    <xf numFmtId="171" fontId="16" fillId="0" borderId="1" xfId="9" applyNumberFormat="1" applyFill="1" applyBorder="1"/>
    <xf numFmtId="171" fontId="1" fillId="0" borderId="1" xfId="13" applyNumberFormat="1" applyFont="1" applyBorder="1"/>
    <xf numFmtId="171" fontId="0" fillId="3" borderId="1" xfId="0" applyNumberFormat="1" applyFill="1" applyBorder="1" applyAlignment="1" applyProtection="1">
      <alignment horizontal="center" vertical="center"/>
      <protection locked="0"/>
    </xf>
    <xf numFmtId="44" fontId="16" fillId="0" borderId="1" xfId="22" applyFont="1" applyFill="1" applyBorder="1" applyAlignment="1">
      <alignment horizontal="right"/>
    </xf>
    <xf numFmtId="0" fontId="0" fillId="0" borderId="1" xfId="0" applyBorder="1" applyAlignment="1">
      <alignment horizontal="left" vertical="top" wrapText="1"/>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10" fontId="0" fillId="4" borderId="1" xfId="2" applyNumberFormat="1" applyFont="1" applyFill="1" applyBorder="1" applyAlignment="1">
      <alignment horizontal="center" vertical="center"/>
    </xf>
    <xf numFmtId="0" fontId="0" fillId="0" borderId="1" xfId="0" applyBorder="1" applyAlignment="1">
      <alignment horizontal="center" vertical="center"/>
    </xf>
    <xf numFmtId="165" fontId="0" fillId="4" borderId="1" xfId="2" applyNumberFormat="1" applyFont="1" applyFill="1" applyBorder="1" applyAlignment="1">
      <alignment horizontal="center"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6" borderId="1" xfId="0" applyFill="1" applyBorder="1" applyAlignment="1">
      <alignment horizontal="center"/>
    </xf>
    <xf numFmtId="2" fontId="0" fillId="0" borderId="16" xfId="0" applyNumberFormat="1" applyBorder="1" applyAlignment="1">
      <alignment horizontal="center"/>
    </xf>
    <xf numFmtId="2" fontId="0" fillId="6" borderId="1" xfId="0" applyNumberFormat="1" applyFill="1" applyBorder="1" applyAlignment="1">
      <alignment horizontal="center" vertical="center" wrapText="1"/>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10" borderId="1" xfId="0" applyFill="1" applyBorder="1" applyAlignment="1">
      <alignment horizontal="center"/>
    </xf>
    <xf numFmtId="0" fontId="0" fillId="10" borderId="2" xfId="0" applyFill="1" applyBorder="1" applyAlignment="1">
      <alignment horizontal="center"/>
    </xf>
    <xf numFmtId="0" fontId="0" fillId="10" borderId="4" xfId="0" applyFill="1" applyBorder="1" applyAlignment="1">
      <alignment horizontal="center"/>
    </xf>
    <xf numFmtId="0" fontId="0" fillId="6" borderId="2" xfId="0" applyFill="1" applyBorder="1" applyAlignment="1">
      <alignment horizontal="center" wrapText="1"/>
    </xf>
    <xf numFmtId="0" fontId="0" fillId="6" borderId="3" xfId="0" applyFill="1" applyBorder="1" applyAlignment="1">
      <alignment horizontal="center" wrapText="1"/>
    </xf>
    <xf numFmtId="0" fontId="0" fillId="6" borderId="4" xfId="0" applyFill="1" applyBorder="1" applyAlignment="1">
      <alignment horizontal="center" wrapText="1"/>
    </xf>
    <xf numFmtId="166" fontId="0" fillId="4" borderId="7" xfId="0" applyNumberFormat="1" applyFill="1" applyBorder="1" applyAlignment="1">
      <alignment horizontal="center" vertical="center"/>
    </xf>
    <xf numFmtId="166" fontId="0" fillId="4" borderId="5" xfId="0" applyNumberFormat="1" applyFill="1" applyBorder="1" applyAlignment="1">
      <alignment horizontal="center" vertical="center"/>
    </xf>
    <xf numFmtId="0" fontId="0" fillId="0" borderId="1" xfId="0"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5" xfId="0" applyBorder="1" applyAlignment="1">
      <alignment horizontal="center"/>
    </xf>
    <xf numFmtId="0" fontId="0" fillId="2" borderId="1" xfId="0" applyFill="1" applyBorder="1" applyAlignment="1">
      <alignment horizontal="center"/>
    </xf>
    <xf numFmtId="0" fontId="12" fillId="6" borderId="1" xfId="0" applyFont="1" applyFill="1" applyBorder="1" applyAlignment="1">
      <alignment horizontal="center" wrapText="1"/>
    </xf>
    <xf numFmtId="0" fontId="0" fillId="0" borderId="7" xfId="0" applyFill="1" applyBorder="1" applyAlignment="1">
      <alignment horizontal="center" vertical="center" wrapText="1"/>
    </xf>
    <xf numFmtId="0" fontId="0" fillId="0" borderId="5" xfId="0" applyFill="1" applyBorder="1" applyAlignment="1">
      <alignment horizontal="center" vertical="center" wrapText="1"/>
    </xf>
    <xf numFmtId="166" fontId="0" fillId="4" borderId="1" xfId="0" applyNumberFormat="1" applyFill="1" applyBorder="1" applyAlignment="1">
      <alignment horizontal="center" vertical="center"/>
    </xf>
    <xf numFmtId="0" fontId="0" fillId="6" borderId="2" xfId="0" applyFill="1" applyBorder="1" applyAlignment="1">
      <alignment horizontal="center"/>
    </xf>
    <xf numFmtId="0" fontId="0" fillId="6" borderId="3" xfId="0" applyFill="1" applyBorder="1" applyAlignment="1">
      <alignment horizontal="center"/>
    </xf>
    <xf numFmtId="0" fontId="0" fillId="6" borderId="4" xfId="0" applyFill="1" applyBorder="1" applyAlignment="1">
      <alignment horizontal="center"/>
    </xf>
    <xf numFmtId="0" fontId="0" fillId="0" borderId="7" xfId="0" applyBorder="1" applyAlignment="1">
      <alignment horizontal="center" vertical="center"/>
    </xf>
    <xf numFmtId="0" fontId="0" fillId="0" borderId="5" xfId="0" applyBorder="1" applyAlignment="1">
      <alignment horizontal="center" vertical="center"/>
    </xf>
    <xf numFmtId="0" fontId="0" fillId="6" borderId="1" xfId="0" applyFill="1" applyBorder="1" applyAlignment="1">
      <alignment horizontal="center" wrapText="1"/>
    </xf>
    <xf numFmtId="0" fontId="0" fillId="0" borderId="6" xfId="0" applyBorder="1" applyAlignment="1">
      <alignment horizontal="center"/>
    </xf>
    <xf numFmtId="0" fontId="0" fillId="0" borderId="8" xfId="0" applyBorder="1" applyAlignment="1">
      <alignment horizontal="center"/>
    </xf>
    <xf numFmtId="0" fontId="0" fillId="0" borderId="1" xfId="0" applyFill="1" applyBorder="1" applyAlignment="1">
      <alignment horizontal="center"/>
    </xf>
    <xf numFmtId="0" fontId="6" fillId="4" borderId="1" xfId="0" applyFont="1" applyFill="1" applyBorder="1" applyAlignment="1">
      <alignment horizontal="center"/>
    </xf>
    <xf numFmtId="0" fontId="6" fillId="0" borderId="1" xfId="0" applyFont="1" applyBorder="1" applyAlignment="1">
      <alignment horizontal="center"/>
    </xf>
    <xf numFmtId="0" fontId="6" fillId="0" borderId="16" xfId="0" applyFont="1" applyBorder="1" applyAlignment="1">
      <alignment horizontal="center" wrapText="1"/>
    </xf>
    <xf numFmtId="0" fontId="6" fillId="0" borderId="17" xfId="0" applyFont="1" applyBorder="1" applyAlignment="1">
      <alignment horizontal="center" wrapText="1"/>
    </xf>
    <xf numFmtId="0" fontId="6" fillId="0" borderId="14" xfId="0" applyFont="1" applyBorder="1" applyAlignment="1">
      <alignment horizontal="center" wrapText="1"/>
    </xf>
    <xf numFmtId="0" fontId="6" fillId="0" borderId="18" xfId="0" applyFont="1" applyBorder="1" applyAlignment="1">
      <alignment horizontal="center" wrapText="1"/>
    </xf>
    <xf numFmtId="165" fontId="0" fillId="0" borderId="7" xfId="0" applyNumberFormat="1" applyFill="1" applyBorder="1" applyAlignment="1">
      <alignment horizontal="center"/>
    </xf>
    <xf numFmtId="165" fontId="0" fillId="0" borderId="5" xfId="0" applyNumberFormat="1" applyFill="1" applyBorder="1" applyAlignment="1">
      <alignment horizontal="center"/>
    </xf>
    <xf numFmtId="165" fontId="0" fillId="0" borderId="7" xfId="0" applyNumberFormat="1" applyFill="1" applyBorder="1" applyAlignment="1">
      <alignment horizontal="center" vertical="center" wrapText="1"/>
    </xf>
    <xf numFmtId="165" fontId="0" fillId="0" borderId="5" xfId="0" applyNumberFormat="1" applyFill="1" applyBorder="1" applyAlignment="1">
      <alignment horizontal="center" vertical="center" wrapText="1"/>
    </xf>
    <xf numFmtId="165" fontId="0" fillId="0" borderId="1" xfId="0" applyNumberFormat="1" applyBorder="1" applyAlignment="1">
      <alignment horizontal="center" vertical="center"/>
    </xf>
    <xf numFmtId="165" fontId="0" fillId="0" borderId="2" xfId="0" applyNumberFormat="1" applyBorder="1" applyAlignment="1">
      <alignment horizontal="center"/>
    </xf>
    <xf numFmtId="165" fontId="0" fillId="0" borderId="4" xfId="0" applyNumberFormat="1" applyBorder="1" applyAlignment="1">
      <alignment horizontal="center"/>
    </xf>
    <xf numFmtId="165" fontId="0" fillId="8" borderId="2" xfId="0" applyNumberFormat="1" applyFill="1" applyBorder="1" applyAlignment="1">
      <alignment horizontal="center"/>
    </xf>
    <xf numFmtId="165" fontId="0" fillId="8" borderId="4" xfId="0" applyNumberFormat="1" applyFill="1" applyBorder="1" applyAlignment="1">
      <alignment horizontal="center"/>
    </xf>
    <xf numFmtId="44" fontId="0" fillId="0" borderId="1" xfId="0" applyNumberFormat="1" applyBorder="1" applyAlignment="1">
      <alignment horizontal="center" vertical="center"/>
    </xf>
    <xf numFmtId="165" fontId="0" fillId="0" borderId="1" xfId="0" applyNumberFormat="1" applyBorder="1" applyAlignment="1">
      <alignment horizontal="center"/>
    </xf>
  </cellXfs>
  <cellStyles count="23">
    <cellStyle name="Prozent" xfId="2" builtinId="5"/>
    <cellStyle name="Standard" xfId="0" builtinId="0"/>
    <cellStyle name="Standard 2" xfId="1"/>
    <cellStyle name="Κανονικό 2" xfId="4"/>
    <cellStyle name="Κανονικό 3" xfId="3"/>
    <cellStyle name="Κανονικό 3 2" xfId="7"/>
    <cellStyle name="Κανονικό 3 2 2" xfId="13"/>
    <cellStyle name="Κανονικό 3 2 3" xfId="17"/>
    <cellStyle name="Κανονικό 3 2 4" xfId="21"/>
    <cellStyle name="Κανονικό 3 3" xfId="11"/>
    <cellStyle name="Κανονικό 3 4" xfId="15"/>
    <cellStyle name="Κανονικό 3 5" xfId="19"/>
    <cellStyle name="Κανονικό 4" xfId="6"/>
    <cellStyle name="Κανονικό 4 2" xfId="12"/>
    <cellStyle name="Κανονικό 4 3" xfId="16"/>
    <cellStyle name="Κανονικό 4 4" xfId="20"/>
    <cellStyle name="Κανονικό 5" xfId="9"/>
    <cellStyle name="Κανονικό 6" xfId="8"/>
    <cellStyle name="Κανονικό 7" xfId="14"/>
    <cellStyle name="Κανονικό 8" xfId="18"/>
    <cellStyle name="Νόμισμα 2" xfId="22"/>
    <cellStyle name="Ποσοστό 2" xfId="5"/>
    <cellStyle name="Ποσοστό 3" xfId="10"/>
  </cellStyles>
  <dxfs count="0"/>
  <tableStyles count="0" defaultTableStyle="TableStyleMedium9" defaultPivotStyle="PivotStyleLight16"/>
  <colors>
    <mruColors>
      <color rgb="FFFFFFCC"/>
      <color rgb="FFD3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Σύντομες Οδηγίες"/>
      <sheetName val="Έλεγχος Κριτηρίων"/>
      <sheetName val="Σφαιρική Εικόνα"/>
      <sheetName val="Έλεγχος"/>
      <sheetName val="Παραλλαγές"/>
      <sheetName val="PHeco"/>
      <sheetName val="Σύγκριση"/>
      <sheetName val="Κλίμα"/>
      <sheetName val="Τιμές-U"/>
      <sheetName val="Επιφάνειες"/>
      <sheetName val="Έδαφος"/>
      <sheetName val="Συστήματα"/>
      <sheetName val="Κουφώματα"/>
      <sheetName val="Σκίαση"/>
      <sheetName val="Αερισμός"/>
      <sheetName val="Πρόσθετος Αερισμός"/>
      <sheetName val="Ετήσια Θέρμανση"/>
      <sheetName val="Θέρμανση"/>
      <sheetName val="Φορτίο Θέρμανσης"/>
      <sheetName val="Θερινός Αερισμός"/>
      <sheetName val="Καλοκαίρι"/>
      <sheetName val="Ψύξη"/>
      <sheetName val="Μονάδες Ψύξης"/>
      <sheetName val="Φορτίο Ψύξης"/>
      <sheetName val="ΖΝΧ+Διανομή"/>
      <sheetName val="ΗλιακόΖΝΧ"/>
      <sheetName val="Φωτοβολταϊκό"/>
      <sheetName val="Ρεύμα"/>
      <sheetName val="Χρήση Κτιρίου (Τριτογ)"/>
      <sheetName val="Ρεύμα (Τριτογ)"/>
      <sheetName val="Βοηθητικό Ρεύμα"/>
      <sheetName val="Ε.Θ.Κ. "/>
      <sheetName val="Ε.Θ.Κ. (Τριτογ)"/>
      <sheetName val="ΠΕ Αν."/>
      <sheetName val="Μονάδα Compact"/>
      <sheetName val="Αντλία Θερμότητας"/>
      <sheetName val="Γεωθερμική Αντλία Θερμότητας"/>
      <sheetName val="Λέβητας"/>
      <sheetName val="Τηλεθέρμανση"/>
      <sheetName val="Δεδομένα"/>
    </sheetNames>
    <sheetDataSet>
      <sheetData sheetId="0"/>
      <sheetData sheetId="1"/>
      <sheetData sheetId="2"/>
      <sheetData sheetId="3"/>
      <sheetData sheetId="4"/>
      <sheetData sheetId="5"/>
      <sheetData sheetId="6"/>
      <sheetData sheetId="7">
        <row r="26">
          <cell r="AM26">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718">
          <cell r="A718" t="str">
            <v/>
          </cell>
        </row>
        <row r="719">
          <cell r="A719" t="str">
            <v>x</v>
          </cell>
        </row>
        <row r="754">
          <cell r="A754" t="str">
            <v>1-Οροφή</v>
          </cell>
          <cell r="C754" t="str">
            <v>1-Εξωτ. αέρας</v>
          </cell>
        </row>
        <row r="755">
          <cell r="A755" t="str">
            <v>2-Τοίχος</v>
          </cell>
          <cell r="C755" t="str">
            <v>2-Έδαφος</v>
          </cell>
        </row>
        <row r="756">
          <cell r="A756" t="str">
            <v>3-Δάπεδο</v>
          </cell>
          <cell r="C756" t="str">
            <v>3-Αεριζόμενο</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outlinePr summaryBelow="0" summaryRight="0"/>
  </sheetPr>
  <dimension ref="B1:AJ112"/>
  <sheetViews>
    <sheetView tabSelected="1" zoomScale="88" zoomScaleNormal="88" workbookViewId="0">
      <selection activeCell="D5" sqref="D5"/>
    </sheetView>
  </sheetViews>
  <sheetFormatPr baseColWidth="10" defaultColWidth="9.140625" defaultRowHeight="15" outlineLevelRow="1" outlineLevelCol="1" x14ac:dyDescent="0.25"/>
  <cols>
    <col min="1" max="1" width="8.85546875" customWidth="1"/>
    <col min="2" max="2" width="89.5703125" customWidth="1" collapsed="1"/>
    <col min="3" max="3" width="77" hidden="1" customWidth="1" outlineLevel="1"/>
    <col min="4" max="4" width="25" customWidth="1" collapsed="1"/>
    <col min="5" max="5" width="10.28515625" hidden="1" customWidth="1" outlineLevel="1"/>
    <col min="6" max="7" width="8.85546875" hidden="1" customWidth="1" outlineLevel="1"/>
    <col min="8" max="8" width="9.7109375" hidden="1" customWidth="1" outlineLevel="1"/>
    <col min="9" max="9" width="2.7109375" hidden="1" customWidth="1" outlineLevel="1"/>
    <col min="10" max="10" width="49.28515625" hidden="1" customWidth="1" outlineLevel="1"/>
    <col min="11" max="12" width="8.85546875" hidden="1" customWidth="1" outlineLevel="1"/>
    <col min="13" max="13" width="17.85546875" hidden="1" customWidth="1" outlineLevel="1"/>
    <col min="14" max="15" width="8.85546875" hidden="1" customWidth="1" outlineLevel="1"/>
    <col min="16" max="16" width="8.85546875" customWidth="1" collapsed="1"/>
    <col min="17" max="17" width="68.28515625" customWidth="1"/>
    <col min="18" max="18" width="10.7109375" bestFit="1" customWidth="1"/>
    <col min="19" max="21" width="11.42578125" bestFit="1" customWidth="1"/>
    <col min="22" max="22" width="10.7109375" customWidth="1"/>
    <col min="23" max="23" width="14.140625" bestFit="1" customWidth="1"/>
    <col min="24" max="24" width="11.42578125" bestFit="1" customWidth="1"/>
    <col min="25" max="25" width="10.7109375" bestFit="1" customWidth="1"/>
    <col min="26" max="26" width="11.42578125" bestFit="1" customWidth="1"/>
    <col min="28" max="28" width="10.7109375" bestFit="1" customWidth="1"/>
    <col min="31" max="31" width="10.7109375" bestFit="1" customWidth="1"/>
    <col min="34" max="34" width="10.7109375" bestFit="1" customWidth="1"/>
  </cols>
  <sheetData>
    <row r="1" spans="2:24" x14ac:dyDescent="0.25">
      <c r="B1" s="108"/>
    </row>
    <row r="2" spans="2:24" x14ac:dyDescent="0.25">
      <c r="B2" s="108"/>
    </row>
    <row r="3" spans="2:24" x14ac:dyDescent="0.25">
      <c r="B3" s="108"/>
    </row>
    <row r="4" spans="2:24" ht="14.45" customHeight="1" x14ac:dyDescent="0.25">
      <c r="B4" s="184"/>
      <c r="D4" s="167" t="s">
        <v>334</v>
      </c>
      <c r="E4" s="168" t="s">
        <v>335</v>
      </c>
      <c r="J4" s="73" t="s">
        <v>75</v>
      </c>
      <c r="K4" s="42">
        <f>IF(D7&gt;600,IF(D6="Α","Β",IF(D6="Β","Γ",IF(D6="Γ","Δ",D6))),D6)</f>
        <v>0</v>
      </c>
      <c r="L4" s="58">
        <f>K4</f>
        <v>0</v>
      </c>
      <c r="Q4" s="216" t="s">
        <v>516</v>
      </c>
      <c r="R4" s="216"/>
      <c r="S4" s="183"/>
      <c r="T4" s="183"/>
      <c r="U4" s="183"/>
      <c r="V4" s="183"/>
      <c r="W4" s="183"/>
      <c r="X4" s="183"/>
    </row>
    <row r="5" spans="2:24" x14ac:dyDescent="0.25">
      <c r="B5" s="185" t="s">
        <v>468</v>
      </c>
      <c r="D5" s="188"/>
      <c r="E5" s="168"/>
      <c r="J5" s="9" t="s">
        <v>339</v>
      </c>
      <c r="K5" s="42">
        <f>G8*4*G9+G16*D8*D35+G17*D8*D38-G18*G8*G9</f>
        <v>0</v>
      </c>
      <c r="L5" s="167"/>
      <c r="M5" s="58">
        <f>K5</f>
        <v>0</v>
      </c>
      <c r="Q5" s="216"/>
      <c r="R5" s="216"/>
      <c r="S5" s="183"/>
      <c r="T5" s="183"/>
      <c r="U5" s="183"/>
      <c r="V5" s="183"/>
      <c r="W5" s="183"/>
      <c r="X5" s="183"/>
    </row>
    <row r="6" spans="2:24" x14ac:dyDescent="0.25">
      <c r="B6" s="185" t="s">
        <v>469</v>
      </c>
      <c r="C6" s="73" t="s">
        <v>69</v>
      </c>
      <c r="D6" s="188"/>
      <c r="E6" s="167"/>
      <c r="J6" s="9" t="s">
        <v>337</v>
      </c>
      <c r="K6" s="42">
        <f>IF(G16=2,D8,IF(D17="2-Last Floor",D8,0))*D35</f>
        <v>0</v>
      </c>
      <c r="L6" s="167"/>
      <c r="M6" s="149" t="s">
        <v>424</v>
      </c>
      <c r="Q6" s="216"/>
      <c r="R6" s="216"/>
      <c r="S6" s="183"/>
      <c r="T6" s="183"/>
      <c r="U6" s="183"/>
      <c r="V6" s="183"/>
      <c r="W6" s="183"/>
      <c r="X6" s="183"/>
    </row>
    <row r="7" spans="2:24" x14ac:dyDescent="0.25">
      <c r="B7" s="185" t="s">
        <v>76</v>
      </c>
      <c r="C7" s="84" t="s">
        <v>2</v>
      </c>
      <c r="D7" s="188"/>
      <c r="E7" s="167"/>
      <c r="J7" s="9" t="s">
        <v>338</v>
      </c>
      <c r="K7" s="42">
        <f>IF(OR(D17=0,AND(D17="1- First Floor",D26&lt;&gt;3)),0.9*D8,0)*D38</f>
        <v>0</v>
      </c>
      <c r="L7" s="167"/>
      <c r="M7" s="58"/>
      <c r="Q7" s="216"/>
      <c r="R7" s="216"/>
      <c r="S7" s="183"/>
      <c r="T7" s="183"/>
      <c r="U7" s="183"/>
      <c r="V7" s="183"/>
      <c r="W7" s="183"/>
      <c r="X7" s="183"/>
    </row>
    <row r="8" spans="2:24" ht="15.6" customHeight="1" x14ac:dyDescent="0.25">
      <c r="B8" s="185" t="s">
        <v>77</v>
      </c>
      <c r="C8" s="84" t="s">
        <v>98</v>
      </c>
      <c r="D8" s="188"/>
      <c r="E8" s="167" t="s">
        <v>45</v>
      </c>
      <c r="G8">
        <f>SQRT(D8)</f>
        <v>0</v>
      </c>
      <c r="J8" s="9" t="s">
        <v>336</v>
      </c>
      <c r="K8" s="42">
        <f>G8*4*G9-G18*G8*G9</f>
        <v>0</v>
      </c>
      <c r="L8" s="167"/>
      <c r="M8" s="58"/>
      <c r="Q8" s="216"/>
      <c r="R8" s="216"/>
      <c r="S8" s="183"/>
      <c r="T8" s="183"/>
      <c r="U8" s="183"/>
      <c r="V8" s="183"/>
      <c r="W8" s="183"/>
      <c r="X8" s="183"/>
    </row>
    <row r="9" spans="2:24" x14ac:dyDescent="0.25">
      <c r="B9" s="185" t="s">
        <v>503</v>
      </c>
      <c r="C9" s="84" t="s">
        <v>3</v>
      </c>
      <c r="D9" s="188"/>
      <c r="E9" s="167" t="s">
        <v>18</v>
      </c>
      <c r="G9">
        <f>IF(D9=0,3,D9)</f>
        <v>3</v>
      </c>
      <c r="Q9" s="216"/>
      <c r="R9" s="216"/>
      <c r="S9" s="183"/>
      <c r="T9" s="183"/>
      <c r="U9" s="183"/>
      <c r="V9" s="183"/>
      <c r="W9" s="183"/>
      <c r="X9" s="183"/>
    </row>
    <row r="10" spans="2:24" x14ac:dyDescent="0.25">
      <c r="B10" s="185" t="s">
        <v>78</v>
      </c>
      <c r="C10" s="84" t="s">
        <v>504</v>
      </c>
      <c r="D10" s="188"/>
      <c r="E10" s="167"/>
      <c r="F10">
        <f>D10</f>
        <v>0</v>
      </c>
      <c r="J10" s="3" t="s">
        <v>340</v>
      </c>
      <c r="K10" s="3">
        <f>1.5*1.5*D12</f>
        <v>0</v>
      </c>
      <c r="Q10" s="216"/>
      <c r="R10" s="216"/>
      <c r="S10" s="183"/>
      <c r="T10" s="183"/>
      <c r="U10" s="183"/>
      <c r="V10" s="183"/>
      <c r="W10" s="183"/>
      <c r="X10" s="183"/>
    </row>
    <row r="11" spans="2:24" x14ac:dyDescent="0.25">
      <c r="B11" s="185" t="s">
        <v>79</v>
      </c>
      <c r="C11" s="84" t="s">
        <v>99</v>
      </c>
      <c r="D11" s="188"/>
      <c r="E11" s="167"/>
      <c r="F11">
        <f>D11</f>
        <v>0</v>
      </c>
      <c r="J11" s="3" t="s">
        <v>341</v>
      </c>
      <c r="K11" s="3">
        <f>2*1.5*D13</f>
        <v>0</v>
      </c>
      <c r="Q11" s="216"/>
      <c r="R11" s="216"/>
      <c r="S11" s="183"/>
      <c r="T11" s="183"/>
      <c r="U11" s="183"/>
      <c r="V11" s="183"/>
      <c r="W11" s="183"/>
      <c r="X11" s="183"/>
    </row>
    <row r="12" spans="2:24" x14ac:dyDescent="0.25">
      <c r="B12" s="185" t="s">
        <v>80</v>
      </c>
      <c r="C12" s="84" t="s">
        <v>59</v>
      </c>
      <c r="D12" s="188"/>
      <c r="E12" s="167"/>
      <c r="J12" s="3" t="s">
        <v>58</v>
      </c>
      <c r="K12" s="3">
        <f>D14*1.5*3</f>
        <v>0</v>
      </c>
      <c r="Q12" s="216"/>
      <c r="R12" s="216"/>
      <c r="S12" s="183"/>
      <c r="T12" s="183"/>
      <c r="U12" s="183"/>
      <c r="V12" s="183"/>
      <c r="W12" s="183"/>
      <c r="X12" s="183"/>
    </row>
    <row r="13" spans="2:24" x14ac:dyDescent="0.25">
      <c r="B13" s="185" t="s">
        <v>82</v>
      </c>
      <c r="C13" s="84" t="s">
        <v>364</v>
      </c>
      <c r="D13" s="188"/>
      <c r="E13" s="167"/>
      <c r="J13" s="3" t="s">
        <v>342</v>
      </c>
      <c r="K13" s="3" t="b">
        <f xml:space="preserve"> IF(SUM(K10:K11)&lt;K8,TRUE,FALSE)</f>
        <v>0</v>
      </c>
      <c r="Q13" s="216"/>
      <c r="R13" s="216"/>
      <c r="S13" s="183"/>
      <c r="T13" s="183"/>
      <c r="U13" s="183"/>
      <c r="V13" s="183"/>
      <c r="W13" s="183"/>
      <c r="X13" s="183"/>
    </row>
    <row r="14" spans="2:24" x14ac:dyDescent="0.25">
      <c r="B14" s="185" t="s">
        <v>81</v>
      </c>
      <c r="C14" s="84" t="s">
        <v>57</v>
      </c>
      <c r="D14" s="188"/>
      <c r="E14" s="167"/>
      <c r="J14" s="3" t="s">
        <v>343</v>
      </c>
      <c r="K14" s="3">
        <f>IF(D22="Yes",(IF(K6&lt;&gt;0,(4*G8-G8*G18)*0.5*2,0)),0)</f>
        <v>0</v>
      </c>
      <c r="Q14" s="216"/>
      <c r="R14" s="216"/>
      <c r="S14" s="183"/>
      <c r="T14" s="183"/>
      <c r="U14" s="183"/>
      <c r="V14" s="183"/>
      <c r="W14" s="183"/>
      <c r="X14" s="183"/>
    </row>
    <row r="15" spans="2:24" x14ac:dyDescent="0.25">
      <c r="B15" s="184"/>
      <c r="E15" s="167"/>
      <c r="J15" s="3" t="s">
        <v>345</v>
      </c>
      <c r="K15" s="3">
        <f>IF(D22="Yes",IF(K6&lt;&gt;0,(4*G8-G8*G18)*0.1,0),0)</f>
        <v>0</v>
      </c>
      <c r="Q15" s="183"/>
      <c r="R15" s="183"/>
      <c r="S15" s="183"/>
      <c r="T15" s="183"/>
      <c r="U15" s="183"/>
      <c r="V15" s="183"/>
      <c r="W15" s="183"/>
      <c r="X15" s="183"/>
    </row>
    <row r="16" spans="2:24" x14ac:dyDescent="0.25">
      <c r="B16" s="185" t="s">
        <v>83</v>
      </c>
      <c r="C16" s="84" t="s">
        <v>0</v>
      </c>
      <c r="D16" s="188"/>
      <c r="E16" s="167"/>
      <c r="G16">
        <f xml:space="preserve"> IF(D16="2-single family house",2,0)</f>
        <v>0</v>
      </c>
      <c r="Q16" s="183"/>
      <c r="R16" s="183"/>
      <c r="S16" s="183"/>
      <c r="T16" s="183"/>
      <c r="U16" s="183"/>
      <c r="V16" s="183"/>
      <c r="W16" s="183"/>
      <c r="X16" s="183"/>
    </row>
    <row r="17" spans="2:24" x14ac:dyDescent="0.25">
      <c r="B17" s="185" t="s">
        <v>84</v>
      </c>
      <c r="C17" s="84" t="s">
        <v>365</v>
      </c>
      <c r="D17" s="188"/>
      <c r="E17" s="167"/>
      <c r="G17">
        <f>IF(G16=2,0,IF(D17&lt;&gt;"3- Intermediate",1,0))</f>
        <v>1</v>
      </c>
      <c r="J17" s="9" t="s">
        <v>439</v>
      </c>
      <c r="K17" s="42">
        <f>K8*D36</f>
        <v>0</v>
      </c>
      <c r="L17" s="42">
        <f>Windows!D40</f>
        <v>0</v>
      </c>
      <c r="Q17" s="183"/>
      <c r="R17" s="183"/>
      <c r="S17" s="183"/>
      <c r="T17" s="183"/>
      <c r="U17" s="183"/>
      <c r="V17" s="183"/>
      <c r="W17" s="183"/>
      <c r="X17" s="183"/>
    </row>
    <row r="18" spans="2:24" ht="15" customHeight="1" x14ac:dyDescent="0.25">
      <c r="B18" s="185" t="s">
        <v>366</v>
      </c>
      <c r="C18" s="85" t="s">
        <v>367</v>
      </c>
      <c r="D18" s="188"/>
      <c r="E18" s="167"/>
      <c r="G18">
        <f>D18</f>
        <v>0</v>
      </c>
      <c r="J18" s="9" t="s">
        <v>429</v>
      </c>
      <c r="K18" s="42">
        <f>K8-K17</f>
        <v>0</v>
      </c>
      <c r="L18" s="42">
        <f>Windows!D39</f>
        <v>0</v>
      </c>
      <c r="Q18" s="183"/>
      <c r="R18" s="183"/>
      <c r="S18" s="183"/>
      <c r="T18" s="183"/>
      <c r="U18" s="183"/>
      <c r="V18" s="183"/>
      <c r="W18" s="183"/>
      <c r="X18" s="183"/>
    </row>
    <row r="19" spans="2:24" x14ac:dyDescent="0.25">
      <c r="B19" s="184"/>
      <c r="E19" s="167"/>
      <c r="J19" s="9"/>
      <c r="K19" s="42"/>
    </row>
    <row r="20" spans="2:24" x14ac:dyDescent="0.25">
      <c r="B20" s="185" t="s">
        <v>458</v>
      </c>
      <c r="C20" s="84" t="s">
        <v>505</v>
      </c>
      <c r="D20" s="188"/>
      <c r="E20" s="167"/>
      <c r="F20">
        <f>D20</f>
        <v>0</v>
      </c>
      <c r="J20" s="9" t="s">
        <v>430</v>
      </c>
      <c r="K20" s="42">
        <f>K6*D37</f>
        <v>0</v>
      </c>
    </row>
    <row r="21" spans="2:24" x14ac:dyDescent="0.25">
      <c r="B21" s="185" t="s">
        <v>457</v>
      </c>
      <c r="C21" s="84" t="s">
        <v>506</v>
      </c>
      <c r="D21" s="188"/>
      <c r="E21" s="167"/>
      <c r="F21">
        <f>D21</f>
        <v>0</v>
      </c>
      <c r="J21" s="9" t="s">
        <v>431</v>
      </c>
      <c r="K21" s="42">
        <f>K6-K20</f>
        <v>0</v>
      </c>
    </row>
    <row r="22" spans="2:24" x14ac:dyDescent="0.25">
      <c r="B22" s="185" t="s">
        <v>85</v>
      </c>
      <c r="C22" s="84" t="s">
        <v>62</v>
      </c>
      <c r="D22" s="188"/>
      <c r="E22" s="167"/>
    </row>
    <row r="23" spans="2:24" ht="17.45" customHeight="1" x14ac:dyDescent="0.25">
      <c r="B23" s="184"/>
      <c r="E23" s="167"/>
      <c r="J23" s="9" t="s">
        <v>437</v>
      </c>
      <c r="K23" s="42">
        <f>L17+K20</f>
        <v>0</v>
      </c>
    </row>
    <row r="24" spans="2:24" x14ac:dyDescent="0.25">
      <c r="B24" s="185" t="s">
        <v>86</v>
      </c>
      <c r="C24" s="84" t="s">
        <v>368</v>
      </c>
      <c r="D24" s="188"/>
      <c r="E24" s="167" t="s">
        <v>56</v>
      </c>
      <c r="F24">
        <f>D24</f>
        <v>0</v>
      </c>
      <c r="J24" s="3" t="s">
        <v>507</v>
      </c>
    </row>
    <row r="25" spans="2:24" x14ac:dyDescent="0.25">
      <c r="B25" s="185" t="s">
        <v>87</v>
      </c>
      <c r="C25" s="84" t="s">
        <v>369</v>
      </c>
      <c r="D25" s="188"/>
      <c r="E25" s="167" t="s">
        <v>56</v>
      </c>
    </row>
    <row r="26" spans="2:24" ht="25.5" x14ac:dyDescent="0.25">
      <c r="B26" s="186" t="s">
        <v>88</v>
      </c>
      <c r="C26" s="85" t="s">
        <v>370</v>
      </c>
      <c r="D26" s="188"/>
      <c r="E26" s="167"/>
    </row>
    <row r="27" spans="2:24" x14ac:dyDescent="0.25">
      <c r="B27" s="185" t="s">
        <v>139</v>
      </c>
      <c r="C27" s="89" t="s">
        <v>106</v>
      </c>
      <c r="D27" s="188"/>
      <c r="E27" s="167"/>
      <c r="F27">
        <f>D27</f>
        <v>0</v>
      </c>
    </row>
    <row r="28" spans="2:24" x14ac:dyDescent="0.25">
      <c r="B28" s="185"/>
      <c r="C28" s="1"/>
      <c r="D28" s="1"/>
      <c r="E28" s="1"/>
      <c r="F28" s="1"/>
    </row>
    <row r="29" spans="2:24" x14ac:dyDescent="0.25">
      <c r="B29" s="185" t="s">
        <v>89</v>
      </c>
      <c r="C29" s="109" t="s">
        <v>63</v>
      </c>
      <c r="D29" s="189"/>
      <c r="E29" s="60"/>
    </row>
    <row r="30" spans="2:24" x14ac:dyDescent="0.25">
      <c r="B30" s="185" t="s">
        <v>90</v>
      </c>
      <c r="C30" s="75" t="s">
        <v>64</v>
      </c>
      <c r="D30" s="189"/>
      <c r="E30" s="60"/>
    </row>
    <row r="31" spans="2:24" x14ac:dyDescent="0.25">
      <c r="B31" s="185" t="s">
        <v>91</v>
      </c>
      <c r="C31" s="75" t="s">
        <v>92</v>
      </c>
      <c r="D31" s="189"/>
      <c r="E31" s="60"/>
    </row>
    <row r="32" spans="2:24" x14ac:dyDescent="0.25">
      <c r="B32" s="185"/>
    </row>
    <row r="33" spans="2:24" x14ac:dyDescent="0.25">
      <c r="B33" s="185" t="s">
        <v>162</v>
      </c>
      <c r="C33" s="81" t="s">
        <v>74</v>
      </c>
      <c r="D33" s="189"/>
    </row>
    <row r="34" spans="2:24" x14ac:dyDescent="0.25">
      <c r="B34" s="185" t="s">
        <v>141</v>
      </c>
      <c r="C34" s="81" t="s">
        <v>140</v>
      </c>
      <c r="D34" s="189"/>
      <c r="F34">
        <f>D34</f>
        <v>0</v>
      </c>
    </row>
    <row r="35" spans="2:24" x14ac:dyDescent="0.25">
      <c r="B35" s="187" t="s">
        <v>447</v>
      </c>
      <c r="C35" s="81" t="s">
        <v>432</v>
      </c>
      <c r="D35" s="190"/>
    </row>
    <row r="36" spans="2:24" x14ac:dyDescent="0.25">
      <c r="B36" s="187" t="s">
        <v>440</v>
      </c>
      <c r="C36" s="81" t="s">
        <v>427</v>
      </c>
      <c r="D36" s="190"/>
    </row>
    <row r="37" spans="2:24" x14ac:dyDescent="0.25">
      <c r="B37" s="187" t="s">
        <v>441</v>
      </c>
      <c r="C37" s="81" t="s">
        <v>428</v>
      </c>
      <c r="D37" s="190"/>
    </row>
    <row r="38" spans="2:24" x14ac:dyDescent="0.25">
      <c r="B38" s="187" t="s">
        <v>442</v>
      </c>
      <c r="C38" s="81" t="s">
        <v>435</v>
      </c>
      <c r="D38" s="190"/>
    </row>
    <row r="39" spans="2:24" x14ac:dyDescent="0.25">
      <c r="C39" s="101"/>
      <c r="D39" s="101"/>
    </row>
    <row r="40" spans="2:24" x14ac:dyDescent="0.25">
      <c r="C40" s="101"/>
      <c r="D40" s="101"/>
    </row>
    <row r="41" spans="2:24" x14ac:dyDescent="0.25">
      <c r="C41" s="101"/>
      <c r="D41" s="101"/>
    </row>
    <row r="42" spans="2:24" x14ac:dyDescent="0.25">
      <c r="B42" s="158" t="s">
        <v>513</v>
      </c>
      <c r="C42" s="158"/>
      <c r="D42" s="158"/>
    </row>
    <row r="43" spans="2:24" collapsed="1" x14ac:dyDescent="0.25">
      <c r="C43" s="101"/>
      <c r="D43" s="101"/>
    </row>
    <row r="44" spans="2:24" ht="16.899999999999999" hidden="1" customHeight="1" outlineLevel="1" x14ac:dyDescent="0.25">
      <c r="B44" s="220" t="s">
        <v>138</v>
      </c>
      <c r="C44" s="221"/>
      <c r="D44" s="222"/>
      <c r="E44" s="116"/>
      <c r="F44" s="116"/>
      <c r="G44" s="178"/>
      <c r="Q44" s="217" t="s">
        <v>481</v>
      </c>
      <c r="R44" s="218"/>
      <c r="S44" s="218"/>
      <c r="T44" s="218"/>
      <c r="U44" s="218"/>
      <c r="V44" s="218"/>
      <c r="W44" s="218"/>
      <c r="X44" s="219"/>
    </row>
    <row r="45" spans="2:24" hidden="1" outlineLevel="1" x14ac:dyDescent="0.25">
      <c r="B45" s="145" t="s">
        <v>127</v>
      </c>
      <c r="C45" s="143"/>
      <c r="D45" s="144"/>
      <c r="G45" s="175"/>
      <c r="M45" s="178"/>
      <c r="N45" s="178"/>
      <c r="O45" s="176"/>
      <c r="P45" s="176"/>
      <c r="Q45" s="179"/>
      <c r="R45" s="182" t="s">
        <v>475</v>
      </c>
      <c r="S45" s="182" t="s">
        <v>476</v>
      </c>
      <c r="T45" s="182" t="s">
        <v>477</v>
      </c>
      <c r="U45" s="182" t="s">
        <v>478</v>
      </c>
      <c r="V45" s="182" t="s">
        <v>514</v>
      </c>
      <c r="W45" s="182" t="s">
        <v>479</v>
      </c>
      <c r="X45" s="182" t="s">
        <v>480</v>
      </c>
    </row>
    <row r="46" spans="2:24" hidden="1" outlineLevel="1" x14ac:dyDescent="0.25">
      <c r="B46" s="89" t="s">
        <v>371</v>
      </c>
      <c r="C46" s="89" t="s">
        <v>100</v>
      </c>
      <c r="D46" s="214"/>
      <c r="E46" s="41"/>
      <c r="G46" s="175"/>
      <c r="M46" s="175"/>
      <c r="N46" s="174" t="s">
        <v>470</v>
      </c>
      <c r="O46" s="174" t="s">
        <v>471</v>
      </c>
      <c r="P46" s="174"/>
      <c r="Q46" s="89" t="s">
        <v>371</v>
      </c>
      <c r="R46" s="196">
        <f>1.3*V46</f>
        <v>20.8</v>
      </c>
      <c r="S46" s="196">
        <v>25</v>
      </c>
      <c r="T46" s="196">
        <v>125</v>
      </c>
      <c r="U46" s="196">
        <v>180</v>
      </c>
      <c r="V46" s="196">
        <v>16</v>
      </c>
      <c r="W46" s="196">
        <v>40</v>
      </c>
      <c r="X46" s="196">
        <v>127.42</v>
      </c>
    </row>
    <row r="47" spans="2:24" hidden="1" outlineLevel="1" x14ac:dyDescent="0.25">
      <c r="B47" s="89" t="s">
        <v>517</v>
      </c>
      <c r="C47" s="89" t="s">
        <v>101</v>
      </c>
      <c r="D47" s="214"/>
      <c r="E47" s="41"/>
      <c r="G47" s="175"/>
      <c r="M47" s="175" t="s">
        <v>472</v>
      </c>
      <c r="N47" s="175">
        <v>0.15</v>
      </c>
      <c r="O47" s="175">
        <v>220</v>
      </c>
      <c r="P47" s="175"/>
      <c r="Q47" s="89" t="s">
        <v>488</v>
      </c>
      <c r="R47" s="173">
        <v>120</v>
      </c>
      <c r="S47" s="173">
        <v>115</v>
      </c>
      <c r="T47" s="173">
        <v>110</v>
      </c>
      <c r="U47" s="173">
        <v>120</v>
      </c>
      <c r="V47" s="173" t="s">
        <v>413</v>
      </c>
      <c r="W47" s="173">
        <v>140</v>
      </c>
      <c r="X47" s="173">
        <v>100</v>
      </c>
    </row>
    <row r="48" spans="2:24" hidden="1" outlineLevel="1" x14ac:dyDescent="0.25">
      <c r="B48" s="89" t="s">
        <v>372</v>
      </c>
      <c r="C48" s="89" t="s">
        <v>102</v>
      </c>
      <c r="D48" s="214"/>
      <c r="E48" s="41"/>
      <c r="G48" s="175"/>
      <c r="M48" s="175" t="s">
        <v>473</v>
      </c>
      <c r="N48" s="175">
        <v>0.15</v>
      </c>
      <c r="O48" s="175">
        <v>210</v>
      </c>
      <c r="P48" s="175"/>
      <c r="Q48" s="89" t="s">
        <v>372</v>
      </c>
      <c r="R48" s="196">
        <f>1.3*V48</f>
        <v>20.8</v>
      </c>
      <c r="S48" s="196">
        <v>25</v>
      </c>
      <c r="T48" s="196">
        <v>55</v>
      </c>
      <c r="U48" s="196">
        <v>275</v>
      </c>
      <c r="V48" s="196">
        <v>16</v>
      </c>
      <c r="W48" s="196">
        <v>40</v>
      </c>
      <c r="X48" s="196">
        <v>44.69</v>
      </c>
    </row>
    <row r="49" spans="2:36" hidden="1" outlineLevel="1" x14ac:dyDescent="0.25">
      <c r="B49" s="89" t="s">
        <v>518</v>
      </c>
      <c r="C49" s="89" t="s">
        <v>103</v>
      </c>
      <c r="D49" s="214"/>
      <c r="E49" s="41"/>
      <c r="G49" s="172"/>
      <c r="M49" s="175" t="s">
        <v>474</v>
      </c>
      <c r="N49" s="175">
        <v>0.15</v>
      </c>
      <c r="O49" s="175">
        <v>210</v>
      </c>
      <c r="P49" s="175"/>
      <c r="Q49" s="89" t="s">
        <v>489</v>
      </c>
      <c r="R49" s="173">
        <v>160</v>
      </c>
      <c r="S49" s="173">
        <v>130</v>
      </c>
      <c r="T49" s="173">
        <v>160</v>
      </c>
      <c r="U49" s="173">
        <v>130</v>
      </c>
      <c r="V49" s="173" t="s">
        <v>413</v>
      </c>
      <c r="W49" s="173">
        <v>200</v>
      </c>
      <c r="X49" s="173">
        <v>130</v>
      </c>
    </row>
    <row r="50" spans="2:36" hidden="1" outlineLevel="1" x14ac:dyDescent="0.25">
      <c r="B50" s="89" t="s">
        <v>373</v>
      </c>
      <c r="C50" s="89" t="s">
        <v>104</v>
      </c>
      <c r="D50" s="214"/>
      <c r="M50" s="174"/>
      <c r="N50" s="174"/>
      <c r="O50" s="174"/>
      <c r="P50" s="174"/>
      <c r="Q50" s="89" t="s">
        <v>373</v>
      </c>
      <c r="R50" s="196">
        <f>1.3*V50</f>
        <v>20.8</v>
      </c>
      <c r="S50" s="196">
        <v>15</v>
      </c>
      <c r="T50" s="196">
        <v>15</v>
      </c>
      <c r="U50" s="196">
        <v>43</v>
      </c>
      <c r="V50" s="196">
        <v>16</v>
      </c>
      <c r="W50" s="196">
        <v>25</v>
      </c>
      <c r="X50" s="196">
        <v>41.39</v>
      </c>
    </row>
    <row r="51" spans="2:36" hidden="1" outlineLevel="1" x14ac:dyDescent="0.25">
      <c r="B51" s="89" t="s">
        <v>519</v>
      </c>
      <c r="C51" s="89" t="s">
        <v>105</v>
      </c>
      <c r="D51" s="214"/>
      <c r="Q51" s="89" t="s">
        <v>490</v>
      </c>
      <c r="R51" s="3">
        <v>150</v>
      </c>
      <c r="S51" s="3">
        <v>120</v>
      </c>
      <c r="T51" s="3">
        <v>140</v>
      </c>
      <c r="U51" s="3">
        <v>130</v>
      </c>
      <c r="V51" s="3" t="s">
        <v>413</v>
      </c>
      <c r="W51" s="3">
        <v>120</v>
      </c>
      <c r="X51" s="3">
        <v>100</v>
      </c>
    </row>
    <row r="52" spans="2:36" ht="25.5" hidden="1" outlineLevel="1" x14ac:dyDescent="0.25">
      <c r="B52" s="89" t="s">
        <v>491</v>
      </c>
      <c r="C52" s="89"/>
      <c r="D52" s="188"/>
      <c r="Q52" s="89" t="s">
        <v>491</v>
      </c>
      <c r="R52" s="196"/>
      <c r="S52" s="196">
        <v>21000</v>
      </c>
      <c r="T52" s="196"/>
      <c r="U52" s="196"/>
      <c r="V52" s="196"/>
      <c r="W52" s="196">
        <v>40000</v>
      </c>
      <c r="X52" s="200"/>
    </row>
    <row r="53" spans="2:36" hidden="1" outlineLevel="1" x14ac:dyDescent="0.25">
      <c r="B53" s="89" t="s">
        <v>492</v>
      </c>
      <c r="C53" s="74"/>
      <c r="D53" s="188"/>
      <c r="Q53" s="89" t="s">
        <v>492</v>
      </c>
      <c r="R53" s="196"/>
      <c r="S53" s="196">
        <v>35500</v>
      </c>
      <c r="T53" s="196"/>
      <c r="U53" s="196"/>
      <c r="V53" s="196"/>
      <c r="W53" s="196">
        <v>47500</v>
      </c>
      <c r="X53" s="200"/>
    </row>
    <row r="54" spans="2:36" collapsed="1" x14ac:dyDescent="0.25">
      <c r="B54" s="74"/>
      <c r="C54" s="74"/>
      <c r="D54" s="74"/>
      <c r="S54" s="203"/>
    </row>
    <row r="55" spans="2:36" x14ac:dyDescent="0.25">
      <c r="B55" s="158" t="s">
        <v>508</v>
      </c>
      <c r="C55" s="158"/>
      <c r="D55" s="158"/>
    </row>
    <row r="56" spans="2:36" collapsed="1" x14ac:dyDescent="0.25">
      <c r="B56" s="117"/>
      <c r="C56" s="74"/>
    </row>
    <row r="57" spans="2:36" ht="14.45" hidden="1" customHeight="1" outlineLevel="1" x14ac:dyDescent="0.25">
      <c r="B57" s="131" t="s">
        <v>128</v>
      </c>
      <c r="C57" s="223"/>
      <c r="D57" s="223"/>
      <c r="Q57" s="181" t="s">
        <v>482</v>
      </c>
      <c r="R57" s="182" t="s">
        <v>475</v>
      </c>
      <c r="S57" s="182" t="s">
        <v>476</v>
      </c>
      <c r="T57" s="182" t="s">
        <v>477</v>
      </c>
      <c r="U57" s="182" t="s">
        <v>478</v>
      </c>
      <c r="V57" s="182" t="s">
        <v>514</v>
      </c>
      <c r="W57" s="182" t="s">
        <v>479</v>
      </c>
      <c r="X57" s="182" t="s">
        <v>480</v>
      </c>
      <c r="Z57" s="180"/>
      <c r="AA57" s="180"/>
      <c r="AB57" s="180"/>
      <c r="AC57" s="180"/>
      <c r="AD57" s="180"/>
      <c r="AE57" s="180"/>
      <c r="AF57" s="180"/>
      <c r="AG57" s="180"/>
      <c r="AH57" s="180"/>
      <c r="AI57" s="180"/>
      <c r="AJ57" s="180"/>
    </row>
    <row r="58" spans="2:36" ht="25.5" hidden="1" outlineLevel="1" x14ac:dyDescent="0.25">
      <c r="B58" s="89" t="s">
        <v>459</v>
      </c>
      <c r="C58" s="194" t="s">
        <v>108</v>
      </c>
      <c r="D58" s="214"/>
      <c r="Q58" s="89" t="s">
        <v>459</v>
      </c>
      <c r="R58" s="196">
        <f>1.3*V58</f>
        <v>390</v>
      </c>
      <c r="S58" s="206">
        <v>280</v>
      </c>
      <c r="T58" s="196">
        <v>500</v>
      </c>
      <c r="U58" s="196">
        <f>V58*1.35</f>
        <v>405</v>
      </c>
      <c r="V58" s="196">
        <v>300</v>
      </c>
      <c r="W58" s="196">
        <v>350</v>
      </c>
      <c r="X58" s="200">
        <v>473.87741046831957</v>
      </c>
    </row>
    <row r="59" spans="2:36" hidden="1" outlineLevel="1" x14ac:dyDescent="0.25">
      <c r="B59" s="89" t="s">
        <v>460</v>
      </c>
      <c r="C59" s="194" t="s">
        <v>374</v>
      </c>
      <c r="D59" s="214"/>
      <c r="Q59" s="89" t="s">
        <v>460</v>
      </c>
      <c r="R59" s="210">
        <f t="shared" ref="R59:R65" si="0">1.3*V59</f>
        <v>910</v>
      </c>
      <c r="S59" s="206">
        <v>300</v>
      </c>
      <c r="T59" s="197">
        <v>1750</v>
      </c>
      <c r="U59" s="210">
        <f>V59*1.35</f>
        <v>945.00000000000011</v>
      </c>
      <c r="V59" s="197">
        <v>700</v>
      </c>
      <c r="W59" s="197">
        <v>500</v>
      </c>
      <c r="X59" s="200">
        <v>322.98722011640677</v>
      </c>
    </row>
    <row r="60" spans="2:36" hidden="1" outlineLevel="1" x14ac:dyDescent="0.25">
      <c r="B60" s="89" t="s">
        <v>461</v>
      </c>
      <c r="C60" s="194" t="s">
        <v>109</v>
      </c>
      <c r="D60" s="214"/>
      <c r="Q60" s="89" t="s">
        <v>461</v>
      </c>
      <c r="R60" s="210">
        <f t="shared" si="0"/>
        <v>312</v>
      </c>
      <c r="S60" s="206">
        <v>240</v>
      </c>
      <c r="T60" s="197">
        <v>490</v>
      </c>
      <c r="U60" s="197">
        <v>520</v>
      </c>
      <c r="V60" s="197">
        <v>240</v>
      </c>
      <c r="W60" s="197">
        <v>350</v>
      </c>
      <c r="X60" s="200">
        <v>289.12534435261705</v>
      </c>
    </row>
    <row r="61" spans="2:36" hidden="1" outlineLevel="1" x14ac:dyDescent="0.25">
      <c r="B61" s="89" t="s">
        <v>462</v>
      </c>
      <c r="C61" s="194" t="s">
        <v>375</v>
      </c>
      <c r="D61" s="214"/>
      <c r="Q61" s="89" t="s">
        <v>462</v>
      </c>
      <c r="R61" s="210">
        <f t="shared" si="0"/>
        <v>390</v>
      </c>
      <c r="S61" s="206">
        <v>250</v>
      </c>
      <c r="T61" s="197">
        <v>925</v>
      </c>
      <c r="U61" s="197">
        <f>V61*1.35</f>
        <v>405</v>
      </c>
      <c r="V61" s="197">
        <v>300</v>
      </c>
      <c r="W61" s="197">
        <v>500</v>
      </c>
      <c r="X61" s="200">
        <v>291.54083555997431</v>
      </c>
    </row>
    <row r="62" spans="2:36" hidden="1" outlineLevel="1" x14ac:dyDescent="0.25">
      <c r="B62" s="89" t="s">
        <v>129</v>
      </c>
      <c r="C62" s="194" t="s">
        <v>107</v>
      </c>
      <c r="D62" s="214"/>
      <c r="Q62" s="89" t="s">
        <v>129</v>
      </c>
      <c r="R62" s="210">
        <f t="shared" si="0"/>
        <v>390</v>
      </c>
      <c r="S62" s="206">
        <v>550</v>
      </c>
      <c r="T62" s="197">
        <v>700</v>
      </c>
      <c r="U62" s="197">
        <f>V62*2.16</f>
        <v>648</v>
      </c>
      <c r="V62" s="197">
        <v>300</v>
      </c>
      <c r="W62" s="197">
        <v>600</v>
      </c>
      <c r="X62" s="200">
        <v>1317.0552947563579</v>
      </c>
    </row>
    <row r="63" spans="2:36" hidden="1" outlineLevel="1" x14ac:dyDescent="0.25">
      <c r="B63" s="89" t="s">
        <v>130</v>
      </c>
      <c r="C63" s="194" t="s">
        <v>110</v>
      </c>
      <c r="D63" s="214"/>
      <c r="Q63" s="89" t="s">
        <v>130</v>
      </c>
      <c r="R63" s="210">
        <f t="shared" si="0"/>
        <v>910</v>
      </c>
      <c r="S63" s="206">
        <v>1000</v>
      </c>
      <c r="T63" s="196">
        <v>2500</v>
      </c>
      <c r="U63" s="197">
        <f>V63*2.16</f>
        <v>1512</v>
      </c>
      <c r="V63" s="196">
        <v>700</v>
      </c>
      <c r="W63" s="196">
        <v>1000</v>
      </c>
      <c r="X63" s="200">
        <v>780.85519929783402</v>
      </c>
    </row>
    <row r="64" spans="2:36" hidden="1" outlineLevel="1" x14ac:dyDescent="0.25">
      <c r="B64" s="89" t="s">
        <v>131</v>
      </c>
      <c r="C64" s="194" t="s">
        <v>111</v>
      </c>
      <c r="D64" s="214"/>
      <c r="Q64" s="89" t="s">
        <v>131</v>
      </c>
      <c r="R64" s="210">
        <f t="shared" si="0"/>
        <v>390</v>
      </c>
      <c r="S64" s="206">
        <v>950</v>
      </c>
      <c r="T64" s="196">
        <v>574</v>
      </c>
      <c r="U64" s="196">
        <v>660</v>
      </c>
      <c r="V64" s="196">
        <v>300</v>
      </c>
      <c r="W64" s="196">
        <v>550</v>
      </c>
      <c r="X64" s="200">
        <v>803.57083333333321</v>
      </c>
    </row>
    <row r="65" spans="2:26" hidden="1" outlineLevel="1" x14ac:dyDescent="0.25">
      <c r="B65" s="89" t="s">
        <v>448</v>
      </c>
      <c r="C65" s="29"/>
      <c r="D65" s="214"/>
      <c r="Q65" s="89" t="s">
        <v>448</v>
      </c>
      <c r="R65" s="210">
        <f t="shared" si="0"/>
        <v>455</v>
      </c>
      <c r="S65" s="206">
        <v>450</v>
      </c>
      <c r="T65" s="196">
        <v>1875</v>
      </c>
      <c r="U65" s="196">
        <f>V65*1.35</f>
        <v>472.50000000000006</v>
      </c>
      <c r="V65" s="196">
        <v>350</v>
      </c>
      <c r="W65" s="196">
        <v>900</v>
      </c>
      <c r="X65" s="200">
        <v>704.83029381965559</v>
      </c>
    </row>
    <row r="66" spans="2:26" hidden="1" outlineLevel="1" x14ac:dyDescent="0.25">
      <c r="B66" s="89" t="s">
        <v>494</v>
      </c>
      <c r="C66" s="29"/>
      <c r="D66" s="188"/>
      <c r="Q66" s="89" t="s">
        <v>494</v>
      </c>
      <c r="R66" s="196"/>
      <c r="S66" s="205">
        <v>10200</v>
      </c>
      <c r="T66" s="196">
        <v>30000</v>
      </c>
      <c r="U66" s="210">
        <v>23545.599999999999</v>
      </c>
      <c r="V66" s="196"/>
      <c r="W66" s="196">
        <v>17500</v>
      </c>
      <c r="X66" s="202" t="s">
        <v>413</v>
      </c>
    </row>
    <row r="67" spans="2:26" hidden="1" outlineLevel="1" x14ac:dyDescent="0.25">
      <c r="B67" s="89" t="s">
        <v>493</v>
      </c>
      <c r="C67" s="29"/>
      <c r="D67" s="188"/>
      <c r="Q67" s="89" t="s">
        <v>493</v>
      </c>
      <c r="R67" s="196"/>
      <c r="S67" s="205">
        <v>20000</v>
      </c>
      <c r="T67" s="196">
        <v>45000</v>
      </c>
      <c r="U67" s="210">
        <v>29884.799999999999</v>
      </c>
      <c r="V67" s="196"/>
      <c r="W67" s="196">
        <v>30000</v>
      </c>
      <c r="X67" s="200">
        <v>18352.939999999999</v>
      </c>
      <c r="Z67" s="203">
        <f>X67/129*150</f>
        <v>21340.627906976741</v>
      </c>
    </row>
    <row r="68" spans="2:26" collapsed="1" x14ac:dyDescent="0.25">
      <c r="B68" s="74"/>
      <c r="C68" s="29"/>
      <c r="D68" s="74"/>
      <c r="Q68" s="1"/>
    </row>
    <row r="69" spans="2:26" x14ac:dyDescent="0.25">
      <c r="B69" s="158" t="s">
        <v>509</v>
      </c>
      <c r="C69" s="158"/>
      <c r="D69" s="158"/>
    </row>
    <row r="70" spans="2:26" collapsed="1" x14ac:dyDescent="0.25">
      <c r="D70" s="74"/>
    </row>
    <row r="71" spans="2:26" hidden="1" outlineLevel="1" x14ac:dyDescent="0.25">
      <c r="B71" s="131" t="s">
        <v>376</v>
      </c>
      <c r="C71" s="188"/>
      <c r="D71" s="198"/>
      <c r="Q71" s="181" t="s">
        <v>483</v>
      </c>
      <c r="R71" s="197" t="s">
        <v>475</v>
      </c>
      <c r="S71" s="197" t="s">
        <v>476</v>
      </c>
      <c r="T71" s="197" t="s">
        <v>477</v>
      </c>
      <c r="U71" s="197" t="s">
        <v>478</v>
      </c>
      <c r="V71" s="197" t="s">
        <v>514</v>
      </c>
      <c r="W71" s="197" t="s">
        <v>479</v>
      </c>
      <c r="X71" s="197" t="s">
        <v>480</v>
      </c>
    </row>
    <row r="72" spans="2:26" hidden="1" outlineLevel="1" x14ac:dyDescent="0.25">
      <c r="B72" s="89" t="s">
        <v>159</v>
      </c>
      <c r="C72" s="188" t="s">
        <v>377</v>
      </c>
      <c r="D72" s="214"/>
      <c r="Q72" s="89" t="s">
        <v>159</v>
      </c>
      <c r="R72" s="197">
        <f>1.3*V72</f>
        <v>39</v>
      </c>
      <c r="S72" s="207">
        <v>42</v>
      </c>
      <c r="T72" s="197">
        <v>38</v>
      </c>
      <c r="U72" s="197">
        <f>V72*1.35</f>
        <v>40.5</v>
      </c>
      <c r="V72" s="197">
        <v>30</v>
      </c>
      <c r="W72" s="197">
        <v>45</v>
      </c>
      <c r="X72" s="200">
        <v>250</v>
      </c>
    </row>
    <row r="73" spans="2:26" hidden="1" outlineLevel="1" x14ac:dyDescent="0.25">
      <c r="B73" s="89" t="s">
        <v>149</v>
      </c>
      <c r="C73" s="188" t="s">
        <v>9</v>
      </c>
      <c r="D73" s="214"/>
      <c r="Q73" s="89" t="s">
        <v>149</v>
      </c>
      <c r="R73" s="197">
        <f t="shared" ref="R73:R81" si="1">1.3*V73</f>
        <v>6.5</v>
      </c>
      <c r="S73" s="207">
        <v>9</v>
      </c>
      <c r="T73" s="196"/>
      <c r="U73" s="197">
        <f>V73*1.35</f>
        <v>6.75</v>
      </c>
      <c r="V73" s="196">
        <v>5</v>
      </c>
      <c r="W73" s="196">
        <v>15</v>
      </c>
      <c r="X73" s="200">
        <v>168</v>
      </c>
    </row>
    <row r="74" spans="2:26" hidden="1" outlineLevel="1" x14ac:dyDescent="0.25">
      <c r="B74" s="89" t="s">
        <v>157</v>
      </c>
      <c r="C74" s="188" t="s">
        <v>158</v>
      </c>
      <c r="D74" s="214"/>
      <c r="Q74" s="89" t="s">
        <v>157</v>
      </c>
      <c r="R74" s="197">
        <f t="shared" si="1"/>
        <v>130</v>
      </c>
      <c r="S74" s="207">
        <v>50</v>
      </c>
      <c r="T74" s="196">
        <v>456</v>
      </c>
      <c r="U74" s="197">
        <f>V74*1.35</f>
        <v>135</v>
      </c>
      <c r="V74" s="196">
        <v>100</v>
      </c>
      <c r="W74" s="196">
        <v>200</v>
      </c>
      <c r="X74" s="200">
        <v>392.72</v>
      </c>
    </row>
    <row r="75" spans="2:26" hidden="1" outlineLevel="1" x14ac:dyDescent="0.25">
      <c r="B75" s="89" t="s">
        <v>150</v>
      </c>
      <c r="C75" s="188" t="s">
        <v>156</v>
      </c>
      <c r="D75" s="214"/>
      <c r="Q75" s="89" t="s">
        <v>150</v>
      </c>
      <c r="R75" s="197">
        <f t="shared" si="1"/>
        <v>0</v>
      </c>
      <c r="S75" s="207"/>
      <c r="T75" s="196"/>
      <c r="U75" s="196">
        <v>2000</v>
      </c>
      <c r="V75" s="196">
        <v>0</v>
      </c>
      <c r="W75" s="196">
        <v>0</v>
      </c>
      <c r="X75" s="200">
        <v>3039.64</v>
      </c>
    </row>
    <row r="76" spans="2:26" hidden="1" outlineLevel="1" x14ac:dyDescent="0.25">
      <c r="B76" s="89" t="s">
        <v>378</v>
      </c>
      <c r="C76" s="188" t="s">
        <v>155</v>
      </c>
      <c r="D76" s="214"/>
      <c r="Q76" s="89" t="s">
        <v>378</v>
      </c>
      <c r="R76" s="213" t="s">
        <v>413</v>
      </c>
      <c r="S76" s="207">
        <v>850</v>
      </c>
      <c r="T76" s="196">
        <v>3970</v>
      </c>
      <c r="U76" s="196">
        <f>65*D8</f>
        <v>0</v>
      </c>
      <c r="V76" s="193" t="s">
        <v>413</v>
      </c>
      <c r="W76" s="196">
        <v>2000</v>
      </c>
      <c r="X76" s="200">
        <v>2765</v>
      </c>
    </row>
    <row r="77" spans="2:26" hidden="1" outlineLevel="1" x14ac:dyDescent="0.25">
      <c r="B77" s="89" t="s">
        <v>151</v>
      </c>
      <c r="C77" s="188" t="s">
        <v>154</v>
      </c>
      <c r="D77" s="214"/>
      <c r="Q77" s="89" t="s">
        <v>151</v>
      </c>
      <c r="R77" s="197">
        <f t="shared" si="1"/>
        <v>195</v>
      </c>
      <c r="S77" s="207">
        <v>250</v>
      </c>
      <c r="T77" s="196">
        <v>302</v>
      </c>
      <c r="U77" s="196">
        <f>V77*1.35</f>
        <v>202.5</v>
      </c>
      <c r="V77" s="196">
        <v>150</v>
      </c>
      <c r="W77" s="196">
        <v>200</v>
      </c>
      <c r="X77" s="200">
        <v>0</v>
      </c>
    </row>
    <row r="78" spans="2:26" hidden="1" outlineLevel="1" x14ac:dyDescent="0.25">
      <c r="B78" s="89" t="s">
        <v>152</v>
      </c>
      <c r="C78" s="188" t="s">
        <v>153</v>
      </c>
      <c r="D78" s="214"/>
      <c r="Q78" s="89" t="s">
        <v>152</v>
      </c>
      <c r="R78" s="197">
        <f t="shared" si="1"/>
        <v>299</v>
      </c>
      <c r="S78" s="207">
        <v>250</v>
      </c>
      <c r="T78" s="196">
        <v>331</v>
      </c>
      <c r="U78" s="210">
        <f t="shared" ref="U78:U81" si="2">V78*1.35</f>
        <v>310.5</v>
      </c>
      <c r="V78" s="196">
        <v>230</v>
      </c>
      <c r="W78" s="196">
        <v>180</v>
      </c>
      <c r="X78" s="200">
        <v>687.5</v>
      </c>
    </row>
    <row r="79" spans="2:26" hidden="1" outlineLevel="1" x14ac:dyDescent="0.25">
      <c r="B79" s="89" t="s">
        <v>160</v>
      </c>
      <c r="C79" s="188" t="s">
        <v>510</v>
      </c>
      <c r="D79" s="214"/>
      <c r="Q79" s="89" t="s">
        <v>160</v>
      </c>
      <c r="R79" s="197">
        <f t="shared" si="1"/>
        <v>32.5</v>
      </c>
      <c r="S79" s="207">
        <v>20</v>
      </c>
      <c r="T79" s="197">
        <v>195</v>
      </c>
      <c r="U79" s="210">
        <f t="shared" si="2"/>
        <v>33.75</v>
      </c>
      <c r="V79" s="197">
        <v>25</v>
      </c>
      <c r="W79" s="197">
        <v>20</v>
      </c>
      <c r="X79" s="200">
        <v>115.12</v>
      </c>
    </row>
    <row r="80" spans="2:26" hidden="1" outlineLevel="1" x14ac:dyDescent="0.25">
      <c r="B80" s="89" t="s">
        <v>161</v>
      </c>
      <c r="C80" s="188" t="s">
        <v>511</v>
      </c>
      <c r="D80" s="214"/>
      <c r="Q80" s="89" t="s">
        <v>161</v>
      </c>
      <c r="R80" s="197">
        <f t="shared" si="1"/>
        <v>32.5</v>
      </c>
      <c r="S80" s="207">
        <v>20</v>
      </c>
      <c r="T80" s="197">
        <v>78</v>
      </c>
      <c r="U80" s="210">
        <f t="shared" si="2"/>
        <v>33.75</v>
      </c>
      <c r="V80" s="197">
        <v>25</v>
      </c>
      <c r="W80" s="197">
        <v>20</v>
      </c>
      <c r="X80" s="200">
        <v>103.2</v>
      </c>
    </row>
    <row r="81" spans="2:24" hidden="1" outlineLevel="1" x14ac:dyDescent="0.25">
      <c r="B81" s="89" t="s">
        <v>515</v>
      </c>
      <c r="C81" s="17"/>
      <c r="D81" s="188"/>
      <c r="Q81" s="89" t="s">
        <v>515</v>
      </c>
      <c r="R81" s="197">
        <f t="shared" si="1"/>
        <v>2600</v>
      </c>
      <c r="S81" s="197"/>
      <c r="T81" s="201" t="s">
        <v>413</v>
      </c>
      <c r="U81" s="210">
        <f t="shared" si="2"/>
        <v>2700</v>
      </c>
      <c r="V81" s="197">
        <v>2000</v>
      </c>
      <c r="W81" s="197">
        <v>4000</v>
      </c>
      <c r="X81" s="200"/>
    </row>
    <row r="82" spans="2:24" hidden="1" outlineLevel="1" x14ac:dyDescent="0.25">
      <c r="B82" s="89" t="s">
        <v>446</v>
      </c>
      <c r="C82" s="17"/>
      <c r="D82" s="188"/>
      <c r="Q82" s="89" t="s">
        <v>446</v>
      </c>
      <c r="R82" s="197"/>
      <c r="S82" s="197"/>
      <c r="T82" s="197">
        <v>10000</v>
      </c>
      <c r="U82" s="197">
        <v>12140</v>
      </c>
      <c r="V82" s="197"/>
      <c r="W82" s="211">
        <v>7500</v>
      </c>
      <c r="X82" s="200">
        <f>(7140+5600)/2</f>
        <v>6370</v>
      </c>
    </row>
    <row r="83" spans="2:24" collapsed="1" x14ac:dyDescent="0.25"/>
    <row r="84" spans="2:24" x14ac:dyDescent="0.25">
      <c r="B84" s="158" t="s">
        <v>487</v>
      </c>
      <c r="C84" s="158"/>
      <c r="D84" s="158"/>
    </row>
    <row r="85" spans="2:24" collapsed="1" x14ac:dyDescent="0.25"/>
    <row r="86" spans="2:24" hidden="1" outlineLevel="1" x14ac:dyDescent="0.25">
      <c r="B86" s="131" t="s">
        <v>142</v>
      </c>
      <c r="C86" s="223"/>
      <c r="D86" s="223"/>
      <c r="Q86" s="181" t="s">
        <v>484</v>
      </c>
      <c r="R86" s="196" t="s">
        <v>475</v>
      </c>
      <c r="S86" s="196" t="s">
        <v>476</v>
      </c>
      <c r="T86" s="196" t="s">
        <v>477</v>
      </c>
      <c r="U86" s="196" t="s">
        <v>478</v>
      </c>
      <c r="V86" s="196" t="s">
        <v>514</v>
      </c>
      <c r="W86" s="196" t="s">
        <v>479</v>
      </c>
      <c r="X86" s="196" t="s">
        <v>480</v>
      </c>
    </row>
    <row r="87" spans="2:24" hidden="1" outlineLevel="1" x14ac:dyDescent="0.25">
      <c r="B87" s="89" t="s">
        <v>132</v>
      </c>
      <c r="C87" s="166" t="s">
        <v>47</v>
      </c>
      <c r="D87" s="214"/>
      <c r="Q87" s="89" t="s">
        <v>132</v>
      </c>
      <c r="R87" s="196">
        <f>1.3*V87</f>
        <v>6.5</v>
      </c>
      <c r="S87" s="208">
        <v>1.5</v>
      </c>
      <c r="T87" s="210">
        <v>2.6</v>
      </c>
      <c r="U87" s="196">
        <f>1.35*V87</f>
        <v>6.75</v>
      </c>
      <c r="V87" s="196">
        <v>5</v>
      </c>
      <c r="W87" s="196">
        <v>5</v>
      </c>
      <c r="X87" s="200">
        <v>11.5702479338843</v>
      </c>
    </row>
    <row r="88" spans="2:24" hidden="1" outlineLevel="1" x14ac:dyDescent="0.25">
      <c r="B88" s="89" t="s">
        <v>147</v>
      </c>
      <c r="C88" s="105" t="s">
        <v>114</v>
      </c>
      <c r="D88" s="214"/>
      <c r="Q88" s="89" t="s">
        <v>147</v>
      </c>
      <c r="R88" s="210">
        <f t="shared" ref="R88:R90" si="3">1.3*V88</f>
        <v>6.5</v>
      </c>
      <c r="S88" s="208">
        <v>7</v>
      </c>
      <c r="T88" s="210">
        <v>2.6</v>
      </c>
      <c r="U88" s="210">
        <f t="shared" ref="U88:U90" si="4">1.35*V88</f>
        <v>6.75</v>
      </c>
      <c r="V88" s="196">
        <v>5</v>
      </c>
      <c r="W88" s="196">
        <v>5</v>
      </c>
      <c r="X88" s="200">
        <f>5.06+
3.11</f>
        <v>8.17</v>
      </c>
    </row>
    <row r="89" spans="2:24" hidden="1" outlineLevel="1" x14ac:dyDescent="0.25">
      <c r="B89" s="89" t="s">
        <v>133</v>
      </c>
      <c r="C89" s="166" t="s">
        <v>115</v>
      </c>
      <c r="D89" s="214"/>
      <c r="Q89" s="89" t="s">
        <v>133</v>
      </c>
      <c r="R89" s="210">
        <f t="shared" si="3"/>
        <v>13</v>
      </c>
      <c r="S89" s="208">
        <v>3.5</v>
      </c>
      <c r="T89" s="210">
        <v>2.4</v>
      </c>
      <c r="U89" s="210">
        <f t="shared" si="4"/>
        <v>13.5</v>
      </c>
      <c r="V89" s="196">
        <v>10</v>
      </c>
      <c r="W89" s="196">
        <v>10</v>
      </c>
      <c r="X89" s="200">
        <v>9.75</v>
      </c>
    </row>
    <row r="90" spans="2:24" hidden="1" outlineLevel="1" x14ac:dyDescent="0.25">
      <c r="B90" s="89" t="s">
        <v>134</v>
      </c>
      <c r="C90" s="166" t="s">
        <v>65</v>
      </c>
      <c r="D90" s="214"/>
      <c r="Q90" s="89" t="s">
        <v>134</v>
      </c>
      <c r="R90" s="210">
        <f t="shared" si="3"/>
        <v>0.65</v>
      </c>
      <c r="S90" s="197"/>
      <c r="T90" s="197"/>
      <c r="U90" s="210">
        <f t="shared" si="4"/>
        <v>0.67500000000000004</v>
      </c>
      <c r="V90" s="197">
        <v>0.5</v>
      </c>
      <c r="W90" s="197">
        <v>25</v>
      </c>
      <c r="X90" s="200">
        <f>14.15+5.95+10.45</f>
        <v>30.55</v>
      </c>
    </row>
    <row r="91" spans="2:24" hidden="1" outlineLevel="1" x14ac:dyDescent="0.25">
      <c r="B91" s="89" t="s">
        <v>495</v>
      </c>
      <c r="C91" s="166"/>
      <c r="D91" s="188"/>
      <c r="Q91" s="89" t="s">
        <v>495</v>
      </c>
      <c r="R91" s="197"/>
      <c r="S91" s="197"/>
      <c r="T91" s="197">
        <v>5000</v>
      </c>
      <c r="U91" s="197">
        <f>0.35*W91</f>
        <v>875</v>
      </c>
      <c r="V91" s="197"/>
      <c r="W91" s="197">
        <v>2500</v>
      </c>
      <c r="X91" s="200"/>
    </row>
    <row r="92" spans="2:24" hidden="1" outlineLevel="1" x14ac:dyDescent="0.25">
      <c r="B92" s="89" t="s">
        <v>496</v>
      </c>
      <c r="C92" s="166"/>
      <c r="D92" s="188"/>
      <c r="Q92" s="89" t="s">
        <v>496</v>
      </c>
      <c r="R92" s="197"/>
      <c r="S92" s="197"/>
      <c r="T92" s="197">
        <v>5000</v>
      </c>
      <c r="U92" s="197">
        <v>780</v>
      </c>
      <c r="V92" s="197"/>
      <c r="W92" s="197">
        <v>7500</v>
      </c>
      <c r="X92" s="200"/>
    </row>
    <row r="93" spans="2:24" collapsed="1" x14ac:dyDescent="0.25">
      <c r="B93" s="74"/>
      <c r="C93" s="17"/>
    </row>
    <row r="94" spans="2:24" x14ac:dyDescent="0.25">
      <c r="B94" s="158" t="s">
        <v>512</v>
      </c>
      <c r="C94" s="158"/>
      <c r="D94" s="158"/>
    </row>
    <row r="95" spans="2:24" collapsed="1" x14ac:dyDescent="0.25"/>
    <row r="96" spans="2:24" hidden="1" outlineLevel="1" x14ac:dyDescent="0.25">
      <c r="B96" s="131" t="s">
        <v>445</v>
      </c>
      <c r="C96" s="223"/>
      <c r="D96" s="223"/>
      <c r="Q96" s="181" t="s">
        <v>486</v>
      </c>
      <c r="R96" s="196" t="s">
        <v>475</v>
      </c>
      <c r="S96" s="196" t="s">
        <v>476</v>
      </c>
      <c r="T96" s="196" t="s">
        <v>477</v>
      </c>
      <c r="U96" s="196" t="s">
        <v>478</v>
      </c>
      <c r="V96" s="196" t="s">
        <v>514</v>
      </c>
      <c r="W96" s="196" t="s">
        <v>479</v>
      </c>
      <c r="X96" s="196" t="s">
        <v>480</v>
      </c>
    </row>
    <row r="97" spans="2:24" hidden="1" outlineLevel="1" x14ac:dyDescent="0.25">
      <c r="B97" s="89" t="s">
        <v>135</v>
      </c>
      <c r="C97" s="167" t="s">
        <v>116</v>
      </c>
      <c r="D97" s="204"/>
      <c r="Q97" s="89" t="s">
        <v>135</v>
      </c>
      <c r="R97" s="196">
        <f>1.3*V97</f>
        <v>104</v>
      </c>
      <c r="S97" s="196"/>
      <c r="T97" s="196" t="e">
        <f>3000/D8</f>
        <v>#DIV/0!</v>
      </c>
      <c r="U97" s="196">
        <f>51.28</f>
        <v>51.28</v>
      </c>
      <c r="V97" s="196">
        <v>80</v>
      </c>
      <c r="W97" s="196">
        <v>150</v>
      </c>
      <c r="X97" s="200">
        <v>55.624143763213532</v>
      </c>
    </row>
    <row r="98" spans="2:24" hidden="1" outlineLevel="1" x14ac:dyDescent="0.25">
      <c r="B98" s="89" t="s">
        <v>143</v>
      </c>
      <c r="C98" s="167" t="s">
        <v>117</v>
      </c>
      <c r="D98" s="204"/>
      <c r="Q98" s="89" t="s">
        <v>143</v>
      </c>
      <c r="R98" s="210">
        <f t="shared" ref="R98:R103" si="5">1.3*V98</f>
        <v>39</v>
      </c>
      <c r="S98" s="196"/>
      <c r="T98" s="196" t="e">
        <f>300/D8</f>
        <v>#DIV/0!</v>
      </c>
      <c r="U98" s="196">
        <f>1.35*V98</f>
        <v>40.5</v>
      </c>
      <c r="V98" s="196">
        <v>30</v>
      </c>
      <c r="W98" s="196">
        <v>50</v>
      </c>
      <c r="X98" s="200">
        <v>19.989153172696987</v>
      </c>
    </row>
    <row r="99" spans="2:24" hidden="1" outlineLevel="1" x14ac:dyDescent="0.25">
      <c r="B99" s="89" t="s">
        <v>136</v>
      </c>
      <c r="C99" s="167" t="s">
        <v>118</v>
      </c>
      <c r="D99" s="204"/>
      <c r="Q99" s="89" t="s">
        <v>136</v>
      </c>
      <c r="R99" s="210">
        <f t="shared" si="5"/>
        <v>2600</v>
      </c>
      <c r="S99" s="196"/>
      <c r="T99" s="196">
        <v>1500</v>
      </c>
      <c r="U99" s="196">
        <v>150</v>
      </c>
      <c r="V99" s="196">
        <v>2000</v>
      </c>
      <c r="W99" s="196">
        <v>4000</v>
      </c>
      <c r="X99" s="200" t="s">
        <v>413</v>
      </c>
    </row>
    <row r="100" spans="2:24" hidden="1" outlineLevel="1" x14ac:dyDescent="0.25">
      <c r="B100" s="89" t="s">
        <v>148</v>
      </c>
      <c r="C100" s="166" t="s">
        <v>146</v>
      </c>
      <c r="D100" s="204"/>
      <c r="Q100" s="89" t="s">
        <v>148</v>
      </c>
      <c r="R100" s="210">
        <f t="shared" si="5"/>
        <v>910</v>
      </c>
      <c r="S100" s="197"/>
      <c r="T100" s="201" t="s">
        <v>413</v>
      </c>
      <c r="U100" s="197" t="e">
        <f>8000/D8</f>
        <v>#DIV/0!</v>
      </c>
      <c r="V100" s="197">
        <v>700</v>
      </c>
      <c r="W100" s="197">
        <v>2500</v>
      </c>
      <c r="X100" s="200">
        <v>3755.95</v>
      </c>
    </row>
    <row r="101" spans="2:24" hidden="1" outlineLevel="1" x14ac:dyDescent="0.25">
      <c r="B101" s="89" t="s">
        <v>465</v>
      </c>
      <c r="C101" s="167" t="s">
        <v>379</v>
      </c>
      <c r="D101" s="204"/>
      <c r="Q101" s="89" t="s">
        <v>465</v>
      </c>
      <c r="R101" s="210">
        <f t="shared" si="5"/>
        <v>130</v>
      </c>
      <c r="S101" s="197"/>
      <c r="T101" s="201" t="s">
        <v>413</v>
      </c>
      <c r="U101" s="197">
        <f>U98</f>
        <v>40.5</v>
      </c>
      <c r="V101" s="197">
        <v>100</v>
      </c>
      <c r="W101" s="197">
        <v>2000</v>
      </c>
      <c r="X101" s="200" t="s">
        <v>413</v>
      </c>
    </row>
    <row r="102" spans="2:24" hidden="1" outlineLevel="1" x14ac:dyDescent="0.25">
      <c r="B102" s="89" t="s">
        <v>463</v>
      </c>
      <c r="C102" s="166" t="s">
        <v>145</v>
      </c>
      <c r="D102" s="204"/>
      <c r="Q102" s="89" t="s">
        <v>463</v>
      </c>
      <c r="R102" s="210">
        <f t="shared" si="5"/>
        <v>13</v>
      </c>
      <c r="S102" s="197"/>
      <c r="T102" s="201" t="e">
        <f>3000/D8</f>
        <v>#DIV/0!</v>
      </c>
      <c r="U102" s="197">
        <f>1.35*V102</f>
        <v>13.5</v>
      </c>
      <c r="V102" s="197">
        <v>10</v>
      </c>
      <c r="W102" s="197">
        <v>20</v>
      </c>
      <c r="X102" s="200" t="e">
        <f>3867.85/D8</f>
        <v>#DIV/0!</v>
      </c>
    </row>
    <row r="103" spans="2:24" hidden="1" outlineLevel="1" x14ac:dyDescent="0.25">
      <c r="B103" s="89" t="s">
        <v>464</v>
      </c>
      <c r="C103" s="166" t="s">
        <v>144</v>
      </c>
      <c r="D103" s="204"/>
      <c r="Q103" s="89" t="s">
        <v>464</v>
      </c>
      <c r="R103" s="210">
        <f t="shared" si="5"/>
        <v>325</v>
      </c>
      <c r="S103" s="197"/>
      <c r="T103" s="197">
        <v>1500</v>
      </c>
      <c r="U103" s="197">
        <f>1.35*V103</f>
        <v>337.5</v>
      </c>
      <c r="V103" s="197">
        <v>250</v>
      </c>
      <c r="W103" s="197">
        <v>3500</v>
      </c>
      <c r="X103" s="200">
        <v>253.57</v>
      </c>
    </row>
    <row r="104" spans="2:24" hidden="1" outlineLevel="1" x14ac:dyDescent="0.25">
      <c r="B104" s="89" t="s">
        <v>497</v>
      </c>
      <c r="C104" s="17"/>
      <c r="D104" s="191"/>
      <c r="Q104" s="89" t="s">
        <v>497</v>
      </c>
      <c r="R104" s="196"/>
      <c r="S104" s="209">
        <v>16000</v>
      </c>
      <c r="T104" s="196">
        <v>500</v>
      </c>
      <c r="U104" s="215">
        <v>8156</v>
      </c>
      <c r="V104" s="196"/>
      <c r="W104" s="196">
        <f>(W97+W98)*D8+W99+W82+10000</f>
        <v>21500</v>
      </c>
      <c r="X104" s="200" t="s">
        <v>413</v>
      </c>
    </row>
    <row r="105" spans="2:24" hidden="1" outlineLevel="1" x14ac:dyDescent="0.25">
      <c r="B105" s="89" t="s">
        <v>498</v>
      </c>
      <c r="C105" s="17"/>
      <c r="D105" s="191"/>
      <c r="Q105" s="89" t="s">
        <v>498</v>
      </c>
      <c r="R105" s="196"/>
      <c r="S105" s="209">
        <v>16000</v>
      </c>
      <c r="T105" s="196">
        <v>7000</v>
      </c>
      <c r="U105" s="196">
        <v>8156</v>
      </c>
      <c r="V105" s="196"/>
      <c r="W105" s="212">
        <f>(W97+W98)*D8+W99+W82+10000+1000</f>
        <v>22500</v>
      </c>
      <c r="X105" s="200" t="s">
        <v>413</v>
      </c>
    </row>
    <row r="106" spans="2:24" collapsed="1" x14ac:dyDescent="0.25">
      <c r="B106" s="74"/>
      <c r="C106" s="17"/>
    </row>
    <row r="107" spans="2:24" x14ac:dyDescent="0.25">
      <c r="B107" s="158" t="s">
        <v>499</v>
      </c>
      <c r="C107" s="158"/>
      <c r="D107" s="158"/>
    </row>
    <row r="108" spans="2:24" collapsed="1" x14ac:dyDescent="0.25"/>
    <row r="109" spans="2:24" hidden="1" outlineLevel="1" x14ac:dyDescent="0.25">
      <c r="B109" s="131" t="s">
        <v>137</v>
      </c>
      <c r="C109" s="223"/>
      <c r="D109" s="223"/>
      <c r="Q109" s="181" t="s">
        <v>485</v>
      </c>
      <c r="R109" s="196" t="s">
        <v>475</v>
      </c>
      <c r="S109" s="196" t="s">
        <v>476</v>
      </c>
      <c r="T109" s="196" t="s">
        <v>477</v>
      </c>
      <c r="U109" s="196" t="s">
        <v>478</v>
      </c>
      <c r="V109" s="196" t="s">
        <v>514</v>
      </c>
      <c r="W109" s="196" t="s">
        <v>479</v>
      </c>
      <c r="X109" s="196" t="s">
        <v>480</v>
      </c>
    </row>
    <row r="110" spans="2:24" hidden="1" outlineLevel="1" x14ac:dyDescent="0.25">
      <c r="B110" s="177" t="s">
        <v>466</v>
      </c>
      <c r="C110" s="166" t="s">
        <v>119</v>
      </c>
      <c r="D110" s="191"/>
      <c r="Q110" s="177" t="s">
        <v>466</v>
      </c>
      <c r="R110" s="197">
        <f>1.3*V110</f>
        <v>39</v>
      </c>
      <c r="S110" s="210" t="e">
        <f>350/D8</f>
        <v>#DIV/0!</v>
      </c>
      <c r="T110" s="197">
        <v>5</v>
      </c>
      <c r="U110" s="197">
        <f>1.35*V110</f>
        <v>40.5</v>
      </c>
      <c r="V110" s="197">
        <v>30</v>
      </c>
      <c r="W110" s="197">
        <v>5</v>
      </c>
      <c r="X110" s="200" t="s">
        <v>413</v>
      </c>
    </row>
    <row r="111" spans="2:24" hidden="1" outlineLevel="1" x14ac:dyDescent="0.25">
      <c r="B111" s="177" t="s">
        <v>467</v>
      </c>
      <c r="C111" s="166" t="s">
        <v>120</v>
      </c>
      <c r="D111" s="191"/>
      <c r="Q111" s="177" t="s">
        <v>467</v>
      </c>
      <c r="R111" s="197">
        <f>1.3*V111</f>
        <v>78</v>
      </c>
      <c r="S111" s="193" t="e">
        <f>2400/D8</f>
        <v>#DIV/0!</v>
      </c>
      <c r="T111" s="197">
        <v>20</v>
      </c>
      <c r="U111" s="197">
        <f>1.35*V111</f>
        <v>81</v>
      </c>
      <c r="V111" s="197">
        <v>60</v>
      </c>
      <c r="W111" s="197">
        <v>50</v>
      </c>
      <c r="X111" s="200" t="e">
        <f>(2760+6480+720)/D8</f>
        <v>#DIV/0!</v>
      </c>
    </row>
    <row r="112" spans="2:24" collapsed="1" x14ac:dyDescent="0.25"/>
  </sheetData>
  <sheetProtection formatCells="0"/>
  <dataConsolidate/>
  <mergeCells count="7">
    <mergeCell ref="Q4:R14"/>
    <mergeCell ref="Q44:X44"/>
    <mergeCell ref="B44:D44"/>
    <mergeCell ref="C109:D109"/>
    <mergeCell ref="C57:D57"/>
    <mergeCell ref="C86:D86"/>
    <mergeCell ref="C96:D96"/>
  </mergeCells>
  <dataValidations count="9">
    <dataValidation type="list" allowBlank="1" showInputMessage="1" showErrorMessage="1" sqref="D10:D11 D27">
      <formula1>"1,2"</formula1>
    </dataValidation>
    <dataValidation type="list" allowBlank="1" showInputMessage="1" showErrorMessage="1" sqref="D26 D20:D21">
      <formula1>"1,2,3"</formula1>
    </dataValidation>
    <dataValidation type="list" allowBlank="1" showInputMessage="1" showErrorMessage="1" sqref="D16">
      <formula1>"1- multi family house,2-single family house"</formula1>
    </dataValidation>
    <dataValidation type="list" allowBlank="1" showInputMessage="1" showErrorMessage="1" sqref="D17">
      <formula1>"1- First floor,2-Last Floor,3- Intermediate"</formula1>
    </dataValidation>
    <dataValidation type="list" allowBlank="1" showInputMessage="1" showErrorMessage="1" sqref="D18">
      <formula1>"0,1,2,3"</formula1>
    </dataValidation>
    <dataValidation type="list" allowBlank="1" showInputMessage="1" showErrorMessage="1" sqref="D28">
      <formula1>"Ναι,Όχι"</formula1>
    </dataValidation>
    <dataValidation type="list" allowBlank="1" showInputMessage="1" showErrorMessage="1" sqref="D6">
      <formula1>"- ,Α,Β,Γ,Δ"</formula1>
    </dataValidation>
    <dataValidation type="list" allowBlank="1" showInputMessage="1" showErrorMessage="1" sqref="D22 D34">
      <formula1>"Yes,No"</formula1>
    </dataValidation>
    <dataValidation type="list" allowBlank="1" showInputMessage="1" showErrorMessage="1" sqref="D5">
      <formula1>"1,2,3,4,5,6,7"</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C3:K66"/>
  <sheetViews>
    <sheetView zoomScale="80" zoomScaleNormal="80" workbookViewId="0">
      <selection activeCell="M39" sqref="M39"/>
    </sheetView>
  </sheetViews>
  <sheetFormatPr baseColWidth="10" defaultColWidth="9.140625" defaultRowHeight="15" x14ac:dyDescent="0.25"/>
  <cols>
    <col min="2" max="2" width="22.7109375" customWidth="1"/>
    <col min="3" max="3" width="26.28515625" customWidth="1"/>
    <col min="4" max="4" width="37.42578125" customWidth="1"/>
    <col min="5" max="5" width="29.7109375" bestFit="1" customWidth="1"/>
    <col min="7" max="7" width="28.28515625" customWidth="1"/>
    <col min="8" max="8" width="10.42578125" bestFit="1" customWidth="1"/>
    <col min="10" max="10" width="26.5703125" bestFit="1" customWidth="1"/>
    <col min="11" max="11" width="13.7109375" bestFit="1" customWidth="1"/>
    <col min="12" max="12" width="9.42578125" bestFit="1" customWidth="1"/>
  </cols>
  <sheetData>
    <row r="3" spans="4:11" x14ac:dyDescent="0.25">
      <c r="E3" s="170" t="s">
        <v>351</v>
      </c>
      <c r="F3" s="1"/>
      <c r="G3" s="170" t="s">
        <v>451</v>
      </c>
    </row>
    <row r="4" spans="4:11" x14ac:dyDescent="0.25">
      <c r="D4" s="165" t="s">
        <v>450</v>
      </c>
    </row>
    <row r="6" spans="4:11" x14ac:dyDescent="0.25">
      <c r="D6" s="3" t="s">
        <v>93</v>
      </c>
      <c r="E6" s="162">
        <f>IF(Inputs!D52&lt;&gt;0,Inputs!D52,Areas!C182)</f>
        <v>0</v>
      </c>
      <c r="G6" s="162" t="e">
        <f>IF(Inputs!D53&lt;&gt;0,Inputs!D53,Areas!D182)</f>
        <v>#DIV/0!</v>
      </c>
      <c r="H6" s="56"/>
      <c r="J6" s="224" t="s">
        <v>500</v>
      </c>
      <c r="K6" s="227" t="e">
        <f>G12-E12</f>
        <v>#DIV/0!</v>
      </c>
    </row>
    <row r="7" spans="4:11" x14ac:dyDescent="0.25">
      <c r="D7" s="3" t="s">
        <v>94</v>
      </c>
      <c r="E7" s="162">
        <f>IF(Inputs!D66&lt;&gt;0,Inputs!D66,SUM(Windows!F5:F8))</f>
        <v>0</v>
      </c>
      <c r="G7" s="162">
        <f>IF(Inputs!D67&lt;&gt;0,Inputs!D67,SUM(Windows!F9:F12))</f>
        <v>0</v>
      </c>
      <c r="H7" s="56"/>
      <c r="J7" s="224"/>
      <c r="K7" s="227"/>
    </row>
    <row r="8" spans="4:11" x14ac:dyDescent="0.25">
      <c r="D8" s="3" t="s">
        <v>95</v>
      </c>
      <c r="E8" s="162">
        <f>IF(Inputs!D5=6,Results!G8,0)</f>
        <v>0</v>
      </c>
      <c r="G8" s="162" t="e">
        <f>IF(Inputs!D82&lt;&gt;0,Inputs!D82,Ventilation!E13)</f>
        <v>#N/A</v>
      </c>
      <c r="J8" s="224"/>
      <c r="K8" s="227"/>
    </row>
    <row r="9" spans="4:11" x14ac:dyDescent="0.25">
      <c r="D9" s="3" t="s">
        <v>346</v>
      </c>
      <c r="E9" s="162">
        <f>IF(Inputs!D91&lt;&gt;0,Inputs!D91,Airtightness!C33)</f>
        <v>0</v>
      </c>
      <c r="G9" s="163">
        <f>IF(Inputs!D92&lt;&gt;0,Inputs!D92,Airtightness!C34)</f>
        <v>0</v>
      </c>
      <c r="J9" s="224"/>
      <c r="K9" s="227"/>
    </row>
    <row r="10" spans="4:11" x14ac:dyDescent="0.25">
      <c r="D10" s="3" t="s">
        <v>96</v>
      </c>
      <c r="E10" s="162">
        <f>IF(Inputs!D104&lt;&gt;0,Inputs!D104,'Heating - Cooling'!C18)</f>
        <v>0</v>
      </c>
      <c r="G10" s="162">
        <f>IF(Inputs!D105&lt;&gt;0,Inputs!D105,IF(Inputs!D5=6,'Heating - Cooling'!C18,'Heating - Cooling'!C38))</f>
        <v>0</v>
      </c>
      <c r="J10" s="224" t="s">
        <v>501</v>
      </c>
      <c r="K10" s="225" t="e">
        <f>IF(E12&gt;G12,(E12-G12)/E12,(G12-E12)/E12)</f>
        <v>#DIV/0!</v>
      </c>
    </row>
    <row r="11" spans="4:11" x14ac:dyDescent="0.25">
      <c r="D11" s="3" t="s">
        <v>126</v>
      </c>
      <c r="E11" s="162">
        <f>Study!C11</f>
        <v>0</v>
      </c>
      <c r="G11" s="162">
        <f>Study!C12</f>
        <v>0</v>
      </c>
      <c r="J11" s="224"/>
      <c r="K11" s="225"/>
    </row>
    <row r="12" spans="4:11" x14ac:dyDescent="0.25">
      <c r="D12" s="3" t="s">
        <v>443</v>
      </c>
      <c r="E12" s="164">
        <f>SUM(E6:E11)</f>
        <v>0</v>
      </c>
      <c r="G12" s="164" t="e">
        <f>SUM(G6:G11)</f>
        <v>#DIV/0!</v>
      </c>
      <c r="J12" s="224"/>
      <c r="K12" s="225"/>
    </row>
    <row r="13" spans="4:11" x14ac:dyDescent="0.25">
      <c r="D13" s="3" t="s">
        <v>444</v>
      </c>
      <c r="E13" s="164" t="e">
        <f>E12/Inputs!D8</f>
        <v>#DIV/0!</v>
      </c>
      <c r="G13" s="164" t="e">
        <f>G12/Inputs!D8</f>
        <v>#DIV/0!</v>
      </c>
      <c r="J13" s="224"/>
      <c r="K13" s="225"/>
    </row>
    <row r="14" spans="4:11" x14ac:dyDescent="0.25">
      <c r="D14" s="1"/>
    </row>
    <row r="15" spans="4:11" x14ac:dyDescent="0.25">
      <c r="D15" s="1"/>
    </row>
    <row r="16" spans="4:11" x14ac:dyDescent="0.25">
      <c r="D16" s="169" t="s">
        <v>452</v>
      </c>
    </row>
    <row r="17" spans="3:7" ht="13.9" customHeight="1" x14ac:dyDescent="0.25"/>
    <row r="18" spans="3:7" ht="13.9" customHeight="1" x14ac:dyDescent="0.25">
      <c r="C18" s="226" t="s">
        <v>347</v>
      </c>
      <c r="D18" s="3" t="s">
        <v>122</v>
      </c>
      <c r="E18" s="111" t="str">
        <f>IF(Inputs!D5&lt;&gt;0,IF(Inputs!D27=1,"aluminium","PVC"),"-")</f>
        <v>-</v>
      </c>
      <c r="G18" s="111" t="str">
        <f>IF(Inputs!D5&lt;&gt;0,IF(Inputs!D27=1,"aluminium","PVC"),"-")</f>
        <v>-</v>
      </c>
    </row>
    <row r="19" spans="3:7" ht="13.9" customHeight="1" x14ac:dyDescent="0.25">
      <c r="C19" s="226"/>
      <c r="D19" s="3" t="s">
        <v>415</v>
      </c>
      <c r="E19" s="111">
        <f>G19</f>
        <v>0</v>
      </c>
      <c r="G19" s="111">
        <f>Windows!D21</f>
        <v>0</v>
      </c>
    </row>
    <row r="20" spans="3:7" ht="15.6" customHeight="1" x14ac:dyDescent="0.25">
      <c r="C20" s="226"/>
      <c r="D20" s="3" t="s">
        <v>416</v>
      </c>
      <c r="E20" s="111">
        <f>G20</f>
        <v>0</v>
      </c>
      <c r="G20" s="111">
        <f>Windows!D22</f>
        <v>0</v>
      </c>
    </row>
    <row r="21" spans="3:7" ht="15.6" customHeight="1" x14ac:dyDescent="0.25">
      <c r="C21" s="226"/>
      <c r="D21" s="3" t="s">
        <v>349</v>
      </c>
      <c r="E21" s="142">
        <f>IF(Windows!C2=1,Windows!D5,Windows!D7)</f>
        <v>0</v>
      </c>
      <c r="G21" s="142">
        <f>IF(Windows!C2=1,Windows!D9,Windows!D11)</f>
        <v>0</v>
      </c>
    </row>
    <row r="22" spans="3:7" x14ac:dyDescent="0.25">
      <c r="C22" s="226"/>
      <c r="D22" s="3" t="s">
        <v>350</v>
      </c>
      <c r="E22" s="142">
        <f>IF(Windows!C2=1,Windows!D6,Windows!D8)</f>
        <v>0</v>
      </c>
      <c r="G22" s="142">
        <f>IF(Windows!C2=1,Windows!D10,Windows!D12)</f>
        <v>0</v>
      </c>
    </row>
    <row r="23" spans="3:7" x14ac:dyDescent="0.25">
      <c r="C23" s="41"/>
      <c r="D23" s="1"/>
      <c r="E23" s="1"/>
    </row>
    <row r="24" spans="3:7" x14ac:dyDescent="0.25">
      <c r="C24" s="41"/>
      <c r="D24" s="1"/>
      <c r="E24" s="1"/>
    </row>
    <row r="26" spans="3:7" x14ac:dyDescent="0.25">
      <c r="C26" s="226" t="s">
        <v>352</v>
      </c>
      <c r="D26" s="223" t="s">
        <v>263</v>
      </c>
      <c r="E26" s="223"/>
      <c r="G26" s="153"/>
    </row>
    <row r="27" spans="3:7" x14ac:dyDescent="0.25">
      <c r="C27" s="226"/>
      <c r="D27" s="3" t="s">
        <v>403</v>
      </c>
      <c r="E27" s="111" t="str">
        <f>IF(Inputs!D5&lt;&gt;0,IF(Inputs!D20=1,"external","internal"),"-")</f>
        <v>-</v>
      </c>
      <c r="G27" s="111" t="str">
        <f>IF(Inputs!D5&lt;&gt;0,IF(Inputs!D20=1,"external","internal"),"-")</f>
        <v>-</v>
      </c>
    </row>
    <row r="28" spans="3:7" x14ac:dyDescent="0.25">
      <c r="C28" s="226"/>
      <c r="D28" s="3" t="s">
        <v>419</v>
      </c>
      <c r="E28" s="2">
        <f>G28</f>
        <v>0</v>
      </c>
      <c r="G28" s="2">
        <f>Windows!D29</f>
        <v>0</v>
      </c>
    </row>
    <row r="29" spans="3:7" x14ac:dyDescent="0.25">
      <c r="C29" s="226"/>
      <c r="D29" s="3" t="s">
        <v>402</v>
      </c>
      <c r="E29" s="139" t="b">
        <f>IF(Inputs!D5&lt;&gt;0,IF(Inputs!D20=1,Areas!Q41))</f>
        <v>0</v>
      </c>
      <c r="F29" s="199"/>
      <c r="G29" s="139" t="b">
        <f>IF(Inputs!D5&lt;&gt;0,IF(Inputs!D20=1,Areas!T41))</f>
        <v>0</v>
      </c>
    </row>
    <row r="30" spans="3:7" x14ac:dyDescent="0.25">
      <c r="C30" s="226"/>
      <c r="D30" s="3" t="s">
        <v>408</v>
      </c>
      <c r="E30" s="139" t="b">
        <f>IF(Inputs!D5&lt;&gt;0,IF(Inputs!D20=2,Areas!Q42))</f>
        <v>0</v>
      </c>
      <c r="G30" s="139" t="b">
        <f>IF(Inputs!D5&lt;&gt;0,IF(Inputs!D20=2,Areas!T42))</f>
        <v>0</v>
      </c>
    </row>
    <row r="31" spans="3:7" x14ac:dyDescent="0.25">
      <c r="C31" s="226"/>
      <c r="D31" s="138" t="s">
        <v>404</v>
      </c>
      <c r="E31" s="139" t="str">
        <f>IF(Inputs!D5&lt;&gt;0,"λ=0.033 W/(mK)","-")</f>
        <v>-</v>
      </c>
      <c r="G31" s="139" t="str">
        <f>IF(Inputs!D5&lt;&gt;0,"λ=0.033 W/(mK)","-")</f>
        <v>-</v>
      </c>
    </row>
    <row r="32" spans="3:7" x14ac:dyDescent="0.25">
      <c r="C32" s="226"/>
      <c r="D32" s="223" t="s">
        <v>405</v>
      </c>
      <c r="E32" s="223"/>
      <c r="G32" s="153"/>
    </row>
    <row r="33" spans="3:7" x14ac:dyDescent="0.25">
      <c r="C33" s="226"/>
      <c r="D33" s="3" t="s">
        <v>403</v>
      </c>
      <c r="E33" s="140" t="str">
        <f>IF(Inputs!D5&lt;&gt;0,IF(Inputs!D21=1,"external","internal"),"-")</f>
        <v>-</v>
      </c>
      <c r="G33" s="140" t="str">
        <f>IF(Inputs!D5&lt;&gt;0,IF(Inputs!F21=1,"external","internal"),"-")</f>
        <v>-</v>
      </c>
    </row>
    <row r="34" spans="3:7" x14ac:dyDescent="0.25">
      <c r="C34" s="226"/>
      <c r="D34" s="3" t="s">
        <v>418</v>
      </c>
      <c r="E34" s="115">
        <f>G34</f>
        <v>0</v>
      </c>
      <c r="G34" s="115">
        <f>Inputs!K6</f>
        <v>0</v>
      </c>
    </row>
    <row r="35" spans="3:7" x14ac:dyDescent="0.25">
      <c r="C35" s="226"/>
      <c r="D35" s="3" t="s">
        <v>402</v>
      </c>
      <c r="E35" s="139" t="b">
        <f>IF(Inputs!D5&lt;&gt;0,IF(Inputs!D21=1,Areas!Q89))</f>
        <v>0</v>
      </c>
      <c r="F35" s="199"/>
      <c r="G35" s="139" t="b">
        <f>IF(Inputs!D5&lt;&gt;0,IF(Inputs!D21=1,Areas!T89))</f>
        <v>0</v>
      </c>
    </row>
    <row r="36" spans="3:7" x14ac:dyDescent="0.25">
      <c r="C36" s="226"/>
      <c r="D36" s="3" t="s">
        <v>407</v>
      </c>
      <c r="E36" s="139" t="b">
        <f>IF(Inputs!D5&lt;&gt;0,IF(Inputs!D21=2,Areas!Q90))</f>
        <v>0</v>
      </c>
      <c r="G36" s="139" t="b">
        <f>IF(Inputs!D5&lt;&gt;0,IF(Inputs!D20=2,Areas!T90))</f>
        <v>0</v>
      </c>
    </row>
    <row r="37" spans="3:7" x14ac:dyDescent="0.25">
      <c r="C37" s="226"/>
      <c r="D37" s="3" t="s">
        <v>404</v>
      </c>
      <c r="E37" s="139" t="str">
        <f>IF(Inputs!D11&lt;&gt;0,"λ=0.033 W/(mK)","-")</f>
        <v>-</v>
      </c>
      <c r="G37" s="139" t="str">
        <f>IF(Inputs!F11&lt;&gt;0,"λ=0.033 W/(mK)","-")</f>
        <v>-</v>
      </c>
    </row>
    <row r="38" spans="3:7" x14ac:dyDescent="0.25">
      <c r="C38" s="226"/>
      <c r="D38" s="223" t="s">
        <v>406</v>
      </c>
      <c r="E38" s="223"/>
      <c r="G38" s="153"/>
    </row>
    <row r="39" spans="3:7" x14ac:dyDescent="0.25">
      <c r="C39" s="226"/>
      <c r="D39" s="3" t="s">
        <v>403</v>
      </c>
      <c r="E39" s="139" t="str">
        <f>IF(Inputs!D5&lt;&gt;0,"external","-")</f>
        <v>-</v>
      </c>
      <c r="G39" s="139" t="str">
        <f>IF(Inputs!D5&lt;&gt;0,"external","-")</f>
        <v>-</v>
      </c>
    </row>
    <row r="40" spans="3:7" x14ac:dyDescent="0.25">
      <c r="C40" s="226"/>
      <c r="D40" s="3" t="s">
        <v>417</v>
      </c>
      <c r="E40" s="115">
        <f>Areas!C127</f>
        <v>0</v>
      </c>
      <c r="G40" s="115">
        <f>Areas!C127</f>
        <v>0</v>
      </c>
    </row>
    <row r="41" spans="3:7" x14ac:dyDescent="0.25">
      <c r="C41" s="226"/>
      <c r="D41" s="3" t="s">
        <v>412</v>
      </c>
      <c r="E41" s="139" t="str">
        <f>IF(Inputs!D5&lt;&gt;0,IF(Areas!C128=1,Areas!Q144),"-")</f>
        <v>-</v>
      </c>
      <c r="G41" s="139" t="str">
        <f>IF(Inputs!D5&lt;&gt;0,IF(Areas!C128=1,Areas!T144),"-")</f>
        <v>-</v>
      </c>
    </row>
    <row r="42" spans="3:7" x14ac:dyDescent="0.25">
      <c r="C42" s="226"/>
      <c r="D42" s="3" t="s">
        <v>411</v>
      </c>
      <c r="E42" s="139" t="str">
        <f>IF(Inputs!D5&lt;&gt;0,IF(Areas!C128=2,Areas!Q145),"-")</f>
        <v>-</v>
      </c>
      <c r="G42" s="139" t="str">
        <f>IF(Inputs!D5&lt;&gt;0,IF(Areas!C128=2,Areas!T145),"-")</f>
        <v>-</v>
      </c>
    </row>
    <row r="43" spans="3:7" x14ac:dyDescent="0.25">
      <c r="C43" s="226"/>
      <c r="D43" s="3" t="s">
        <v>404</v>
      </c>
      <c r="E43" s="139" t="str">
        <f>IF(Inputs!K7&lt;&gt;0,"λ=0.033 W/(mK)","-")</f>
        <v>-</v>
      </c>
      <c r="G43" s="139" t="str">
        <f>IF(Inputs!K7&lt;&gt;0,"λ=0.033 W/(mK)","-")</f>
        <v>-</v>
      </c>
    </row>
    <row r="47" spans="3:7" x14ac:dyDescent="0.25">
      <c r="C47" s="226" t="s">
        <v>348</v>
      </c>
      <c r="D47" s="3" t="s">
        <v>502</v>
      </c>
      <c r="E47" s="141" t="s">
        <v>413</v>
      </c>
      <c r="G47" s="111" t="str">
        <f>IF(Inputs!D5=5,Ventilation!E54,"-")</f>
        <v>-</v>
      </c>
    </row>
    <row r="48" spans="3:7" x14ac:dyDescent="0.25">
      <c r="C48" s="226"/>
      <c r="D48" s="3" t="s">
        <v>123</v>
      </c>
      <c r="E48" s="111" t="str">
        <f>IF(Inputs!D5=6,Results!G48,"-")</f>
        <v>-</v>
      </c>
      <c r="G48" s="2">
        <f>Ventilation!E6</f>
        <v>0</v>
      </c>
    </row>
    <row r="49" spans="3:7" x14ac:dyDescent="0.25">
      <c r="C49" s="226"/>
      <c r="D49" s="3" t="s">
        <v>124</v>
      </c>
      <c r="E49" s="111" t="str">
        <f>IF(Inputs!D5=6,Results!G49,"-")</f>
        <v>-</v>
      </c>
      <c r="G49" s="2">
        <f>Ventilation!E57</f>
        <v>0</v>
      </c>
    </row>
    <row r="52" spans="3:7" x14ac:dyDescent="0.25">
      <c r="C52" s="226" t="s">
        <v>346</v>
      </c>
      <c r="D52" s="133" t="s">
        <v>414</v>
      </c>
      <c r="E52" s="111">
        <f>Airtightness!C3</f>
        <v>0</v>
      </c>
      <c r="G52" s="111" t="s">
        <v>413</v>
      </c>
    </row>
    <row r="53" spans="3:7" x14ac:dyDescent="0.25">
      <c r="C53" s="226"/>
      <c r="D53" s="3" t="s">
        <v>455</v>
      </c>
      <c r="E53" s="111" t="s">
        <v>413</v>
      </c>
      <c r="G53" s="2">
        <f>Airtightness!C23</f>
        <v>0</v>
      </c>
    </row>
    <row r="54" spans="3:7" x14ac:dyDescent="0.25">
      <c r="C54" s="226"/>
      <c r="D54" s="132" t="s">
        <v>305</v>
      </c>
      <c r="E54" s="111" t="s">
        <v>413</v>
      </c>
      <c r="G54" s="2">
        <f>Airtightness!C17</f>
        <v>0</v>
      </c>
    </row>
    <row r="57" spans="3:7" ht="14.45" customHeight="1" x14ac:dyDescent="0.25">
      <c r="C57" s="224" t="s">
        <v>420</v>
      </c>
      <c r="D57" s="171" t="s">
        <v>453</v>
      </c>
      <c r="E57" s="111" t="str">
        <f>IF(Inputs!D5&lt;&gt;0,"Heat Pump","-")</f>
        <v>-</v>
      </c>
      <c r="G57" s="111" t="str">
        <f>IF(Inputs!D5&lt;&gt;0,IF(Inputs!D5=3,Results!E57,"A/C"),"-")</f>
        <v>-</v>
      </c>
    </row>
    <row r="58" spans="3:7" x14ac:dyDescent="0.25">
      <c r="C58" s="224"/>
      <c r="D58" s="171" t="s">
        <v>282</v>
      </c>
      <c r="E58" s="2">
        <f>IF(Inputs!D5&lt;&gt;0,1,0)</f>
        <v>0</v>
      </c>
      <c r="G58" s="111">
        <f>'Heating - Cooling'!D30</f>
        <v>0</v>
      </c>
    </row>
    <row r="59" spans="3:7" x14ac:dyDescent="0.25">
      <c r="C59" s="224"/>
      <c r="D59" s="3" t="s">
        <v>454</v>
      </c>
      <c r="E59" s="111" t="str">
        <f>IF(Inputs!D5&lt;&gt;0,"solar water heater","-")</f>
        <v>-</v>
      </c>
      <c r="G59" s="111" t="str">
        <f>IF(Inputs!D5&lt;&gt;0,"solar water heater","-")</f>
        <v>-</v>
      </c>
    </row>
    <row r="62" spans="3:7" x14ac:dyDescent="0.25">
      <c r="C62" s="157" t="s">
        <v>456</v>
      </c>
      <c r="D62" s="3"/>
      <c r="E62" s="111" t="str">
        <f xml:space="preserve"> IF(Inputs!D5&lt;&gt;0,"study based on national standards","-")</f>
        <v>-</v>
      </c>
      <c r="G62" s="111" t="str">
        <f>IF(Inputs!D5&lt;&gt;0,"passive house study","-")</f>
        <v>-</v>
      </c>
    </row>
    <row r="63" spans="3:7" x14ac:dyDescent="0.25">
      <c r="D63" s="126"/>
      <c r="E63" s="111" t="str">
        <f>+IF(Inputs!D5&lt;&gt;0,"energy certificate","-")</f>
        <v>-</v>
      </c>
      <c r="G63" s="111" t="str">
        <f>IF(Inputs!D5&lt;&gt;0,"certification","-")</f>
        <v>-</v>
      </c>
    </row>
    <row r="66" spans="3:3" x14ac:dyDescent="0.25">
      <c r="C66" s="44" t="str">
        <f>IF(Inputs!K13=FALSE,"The area of the windows is more than the area of the wall, no validated results","-")</f>
        <v>The area of the windows is more than the area of the wall, no validated results</v>
      </c>
    </row>
  </sheetData>
  <sheetProtection sheet="1" objects="1" scenarios="1" formatCells="0"/>
  <mergeCells count="12">
    <mergeCell ref="J6:J9"/>
    <mergeCell ref="K6:K9"/>
    <mergeCell ref="D26:E26"/>
    <mergeCell ref="D32:E32"/>
    <mergeCell ref="D38:E38"/>
    <mergeCell ref="C57:C59"/>
    <mergeCell ref="J10:J13"/>
    <mergeCell ref="K10:K13"/>
    <mergeCell ref="C18:C22"/>
    <mergeCell ref="C26:C43"/>
    <mergeCell ref="C47:C49"/>
    <mergeCell ref="C52:C5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2:L114"/>
  <sheetViews>
    <sheetView workbookViewId="0">
      <selection activeCell="C12" sqref="C12"/>
    </sheetView>
  </sheetViews>
  <sheetFormatPr baseColWidth="10" defaultColWidth="9.140625" defaultRowHeight="15" x14ac:dyDescent="0.25"/>
  <cols>
    <col min="2" max="2" width="45.85546875" customWidth="1"/>
    <col min="3" max="3" width="48.7109375" customWidth="1"/>
    <col min="4" max="4" width="26.140625" customWidth="1"/>
    <col min="5" max="5" width="14.28515625" customWidth="1"/>
    <col min="6" max="6" width="23.7109375" customWidth="1"/>
    <col min="7" max="7" width="19.140625" customWidth="1"/>
    <col min="8" max="8" width="29.140625" customWidth="1"/>
    <col min="9" max="9" width="35.28515625" customWidth="1"/>
    <col min="10" max="10" width="28.7109375" customWidth="1"/>
  </cols>
  <sheetData>
    <row r="2" spans="2:9" ht="30" x14ac:dyDescent="0.25">
      <c r="B2" s="126" t="s">
        <v>163</v>
      </c>
      <c r="C2" s="120">
        <f>Inputs!F27</f>
        <v>0</v>
      </c>
    </row>
    <row r="4" spans="2:9" x14ac:dyDescent="0.25">
      <c r="B4" s="71"/>
      <c r="C4" s="98" t="s">
        <v>380</v>
      </c>
      <c r="D4" s="3" t="s">
        <v>164</v>
      </c>
      <c r="E4" s="3" t="s">
        <v>164</v>
      </c>
    </row>
    <row r="5" spans="2:9" x14ac:dyDescent="0.25">
      <c r="B5" s="119" t="s">
        <v>165</v>
      </c>
      <c r="C5" s="110">
        <f>Inputs!D58</f>
        <v>0</v>
      </c>
      <c r="D5" s="155">
        <f>IF(C5&lt;&gt;0,Inputs!D58*D21,D23)</f>
        <v>0</v>
      </c>
      <c r="E5" s="237">
        <f>SUM(D5:D6)+0.1*SUM(D5:D6)</f>
        <v>0</v>
      </c>
      <c r="F5" s="236" t="b">
        <f>IF(C2=1,E5)</f>
        <v>0</v>
      </c>
      <c r="G5" t="e">
        <f>D5/D21</f>
        <v>#DIV/0!</v>
      </c>
      <c r="H5" s="196"/>
      <c r="I5">
        <v>300</v>
      </c>
    </row>
    <row r="6" spans="2:9" x14ac:dyDescent="0.25">
      <c r="B6" s="119" t="s">
        <v>166</v>
      </c>
      <c r="C6" s="110">
        <f>Inputs!D59</f>
        <v>0</v>
      </c>
      <c r="D6" s="155">
        <f>IF(C6&lt;&gt;0,C6*D22,D24)</f>
        <v>0</v>
      </c>
      <c r="E6" s="237"/>
      <c r="F6" s="236"/>
      <c r="G6" t="e">
        <f>D6/D22</f>
        <v>#DIV/0!</v>
      </c>
      <c r="H6" s="197"/>
      <c r="I6">
        <v>700</v>
      </c>
    </row>
    <row r="7" spans="2:9" x14ac:dyDescent="0.25">
      <c r="B7" s="119" t="s">
        <v>167</v>
      </c>
      <c r="C7" s="110">
        <f>Inputs!D60</f>
        <v>0</v>
      </c>
      <c r="D7" s="155">
        <f>IF(C7&lt;&gt;0,C7*D21,E23)</f>
        <v>0</v>
      </c>
      <c r="E7" s="237">
        <f>SUM(D7:D8)+0.1*SUM(D7:D8)</f>
        <v>0</v>
      </c>
      <c r="F7" s="236" t="b">
        <f>IF(C2=2,E7)</f>
        <v>0</v>
      </c>
      <c r="G7" t="e">
        <f>D7/D21</f>
        <v>#DIV/0!</v>
      </c>
      <c r="H7" s="197"/>
      <c r="I7">
        <v>240</v>
      </c>
    </row>
    <row r="8" spans="2:9" x14ac:dyDescent="0.25">
      <c r="B8" s="119" t="s">
        <v>168</v>
      </c>
      <c r="C8" s="110">
        <f>Inputs!D61</f>
        <v>0</v>
      </c>
      <c r="D8" s="155">
        <f>IF(C8&lt;&gt;0,C8*D22,E24)</f>
        <v>0</v>
      </c>
      <c r="E8" s="237"/>
      <c r="F8" s="236"/>
      <c r="G8" t="e">
        <f>D8/D22</f>
        <v>#DIV/0!</v>
      </c>
      <c r="H8" s="197"/>
      <c r="I8">
        <v>300</v>
      </c>
    </row>
    <row r="9" spans="2:9" x14ac:dyDescent="0.25">
      <c r="B9" s="119" t="s">
        <v>169</v>
      </c>
      <c r="C9" s="110">
        <f>Inputs!D62</f>
        <v>0</v>
      </c>
      <c r="D9" s="155">
        <f>IF(C9&lt;&gt;0,C9*D33,E35)</f>
        <v>0</v>
      </c>
      <c r="E9" s="237">
        <f>SUM(D9:D10)+0.1*SUM(D9:D10)</f>
        <v>0</v>
      </c>
      <c r="F9" s="236" t="b">
        <f>IF(C2=1,E9)</f>
        <v>0</v>
      </c>
      <c r="G9" t="e">
        <f>D9/D21</f>
        <v>#DIV/0!</v>
      </c>
      <c r="H9" s="197"/>
      <c r="I9">
        <v>300</v>
      </c>
    </row>
    <row r="10" spans="2:9" x14ac:dyDescent="0.25">
      <c r="B10" s="119" t="s">
        <v>170</v>
      </c>
      <c r="C10" s="110">
        <f>Inputs!D63</f>
        <v>0</v>
      </c>
      <c r="D10" s="155">
        <f>IF(C10&lt;&gt;0,C10*D34,E36)</f>
        <v>0</v>
      </c>
      <c r="E10" s="237"/>
      <c r="F10" s="236"/>
      <c r="G10" s="159" t="e">
        <f>D10/D22</f>
        <v>#DIV/0!</v>
      </c>
      <c r="H10" s="196"/>
      <c r="I10">
        <v>700</v>
      </c>
    </row>
    <row r="11" spans="2:9" x14ac:dyDescent="0.25">
      <c r="B11" s="119" t="s">
        <v>171</v>
      </c>
      <c r="C11" s="110">
        <f>Inputs!D64</f>
        <v>0</v>
      </c>
      <c r="D11" s="155">
        <f xml:space="preserve"> IF(C11&lt;&gt;0,C11*D33,D35)</f>
        <v>0</v>
      </c>
      <c r="E11" s="237">
        <f>SUM(D11:D12)+0.1*SUM(D11:D12)</f>
        <v>0</v>
      </c>
      <c r="F11" s="236" t="b">
        <f>IF(C2=2,E11)</f>
        <v>0</v>
      </c>
      <c r="G11" t="e">
        <f>D11/D21</f>
        <v>#DIV/0!</v>
      </c>
      <c r="H11" s="196"/>
      <c r="I11">
        <v>300</v>
      </c>
    </row>
    <row r="12" spans="2:9" x14ac:dyDescent="0.25">
      <c r="B12" s="119" t="s">
        <v>172</v>
      </c>
      <c r="C12" s="110">
        <f>Inputs!D65</f>
        <v>0</v>
      </c>
      <c r="D12" s="155">
        <f>IF(C12&lt;&gt;0,C12*D34,D36)</f>
        <v>0</v>
      </c>
      <c r="E12" s="237"/>
      <c r="F12" s="236"/>
      <c r="G12" t="e">
        <f>D12/D22</f>
        <v>#DIV/0!</v>
      </c>
      <c r="H12" s="196"/>
      <c r="I12">
        <v>350</v>
      </c>
    </row>
    <row r="13" spans="2:9" x14ac:dyDescent="0.25">
      <c r="B13" s="29"/>
      <c r="C13" s="29"/>
      <c r="D13" s="29"/>
    </row>
    <row r="14" spans="2:9" x14ac:dyDescent="0.25">
      <c r="B14" s="29"/>
      <c r="C14" s="29"/>
      <c r="D14" s="29"/>
    </row>
    <row r="15" spans="2:9" x14ac:dyDescent="0.25">
      <c r="B15" s="29"/>
      <c r="C15" s="29"/>
      <c r="D15" s="29"/>
    </row>
    <row r="16" spans="2:9" x14ac:dyDescent="0.25">
      <c r="B16" s="17"/>
    </row>
    <row r="17" spans="2:12" x14ac:dyDescent="0.25">
      <c r="B17" s="17"/>
      <c r="C17" s="223" t="s">
        <v>68</v>
      </c>
      <c r="D17" s="223"/>
      <c r="E17" s="223"/>
      <c r="F17" s="17"/>
      <c r="G17" s="17"/>
      <c r="H17" s="17"/>
      <c r="I17" s="17"/>
      <c r="J17" s="17"/>
      <c r="K17" s="17"/>
      <c r="L17" s="17"/>
    </row>
    <row r="18" spans="2:12" x14ac:dyDescent="0.25">
      <c r="B18" s="17"/>
      <c r="C18" s="70"/>
      <c r="D18" s="118" t="s">
        <v>182</v>
      </c>
      <c r="E18" s="70" t="s">
        <v>112</v>
      </c>
      <c r="F18" s="17"/>
      <c r="G18" s="17"/>
      <c r="H18" s="17"/>
      <c r="I18" s="17"/>
      <c r="J18" s="17"/>
      <c r="K18" s="17"/>
      <c r="L18" s="17"/>
    </row>
    <row r="19" spans="2:12" x14ac:dyDescent="0.25">
      <c r="B19" s="17"/>
      <c r="C19" s="77" t="s">
        <v>173</v>
      </c>
      <c r="D19" s="52">
        <f>Inputs!D13*(1.5*2)</f>
        <v>0</v>
      </c>
      <c r="E19" s="3"/>
      <c r="F19" s="17"/>
      <c r="G19" s="17"/>
      <c r="H19" s="17"/>
      <c r="I19" s="17"/>
      <c r="J19" s="17"/>
      <c r="K19" s="17"/>
      <c r="L19" s="17"/>
    </row>
    <row r="20" spans="2:12" x14ac:dyDescent="0.25">
      <c r="B20" s="17"/>
      <c r="C20" s="77" t="s">
        <v>174</v>
      </c>
      <c r="D20" s="3">
        <f>2*1.5*Inputs!D12</f>
        <v>0</v>
      </c>
      <c r="E20" s="3"/>
    </row>
    <row r="21" spans="2:12" x14ac:dyDescent="0.25">
      <c r="B21" s="17"/>
      <c r="C21" s="77" t="s">
        <v>175</v>
      </c>
      <c r="D21" s="3">
        <f>Inputs!K10</f>
        <v>0</v>
      </c>
      <c r="E21" s="3"/>
    </row>
    <row r="22" spans="2:12" x14ac:dyDescent="0.25">
      <c r="B22" s="17"/>
      <c r="C22" s="77" t="s">
        <v>176</v>
      </c>
      <c r="D22" s="3">
        <f>Inputs!K11</f>
        <v>0</v>
      </c>
      <c r="E22" s="3"/>
    </row>
    <row r="23" spans="2:12" x14ac:dyDescent="0.25">
      <c r="B23" s="124"/>
      <c r="C23" s="131" t="s">
        <v>177</v>
      </c>
      <c r="D23" s="69">
        <f>D19*I45+H45*(D21-D19*0.1)</f>
        <v>0</v>
      </c>
      <c r="E23" s="3">
        <f>I61*D21</f>
        <v>0</v>
      </c>
      <c r="F23" s="159" t="e">
        <f>D23/D21</f>
        <v>#DIV/0!</v>
      </c>
      <c r="G23" s="159" t="e">
        <f>E23/D21</f>
        <v>#DIV/0!</v>
      </c>
    </row>
    <row r="24" spans="2:12" x14ac:dyDescent="0.25">
      <c r="B24" s="124"/>
      <c r="C24" s="131" t="s">
        <v>178</v>
      </c>
      <c r="D24" s="69">
        <f>D20*I54+H45*(D22-D20*0.1)</f>
        <v>0</v>
      </c>
      <c r="E24" s="3">
        <f>I66*D22</f>
        <v>0</v>
      </c>
      <c r="F24" s="159" t="e">
        <f>D24/D22</f>
        <v>#DIV/0!</v>
      </c>
      <c r="G24" s="159" t="e">
        <f>E24/D22</f>
        <v>#DIV/0!</v>
      </c>
    </row>
    <row r="25" spans="2:12" x14ac:dyDescent="0.25">
      <c r="B25" s="124"/>
      <c r="C25" s="131" t="s">
        <v>27</v>
      </c>
      <c r="D25" s="68">
        <f>SUM(D23:D24)</f>
        <v>0</v>
      </c>
      <c r="E25" s="3">
        <f>SUM(E23:E24)</f>
        <v>0</v>
      </c>
    </row>
    <row r="26" spans="2:12" x14ac:dyDescent="0.25">
      <c r="B26" s="124"/>
      <c r="C26" s="220" t="s">
        <v>216</v>
      </c>
      <c r="D26" s="221"/>
      <c r="E26" s="222"/>
    </row>
    <row r="27" spans="2:12" x14ac:dyDescent="0.25">
      <c r="B27" s="124"/>
      <c r="C27" s="131" t="s">
        <v>179</v>
      </c>
      <c r="D27" s="133">
        <f>IF(Inputs!D20=1,Inputs!K8-Windows!D21-Windows!D22,0)</f>
        <v>0</v>
      </c>
      <c r="E27" s="3"/>
    </row>
    <row r="28" spans="2:12" x14ac:dyDescent="0.25">
      <c r="B28" s="124"/>
      <c r="C28" s="131" t="s">
        <v>180</v>
      </c>
      <c r="D28" s="133">
        <f>IF(Inputs!D20=2,Inputs!K8-Windows!D21-Windows!D22,0)</f>
        <v>0</v>
      </c>
      <c r="E28" s="3"/>
    </row>
    <row r="29" spans="2:12" x14ac:dyDescent="0.25">
      <c r="B29" s="124"/>
      <c r="C29" s="131" t="s">
        <v>27</v>
      </c>
      <c r="D29" s="133">
        <f>SUM(D27:D28)</f>
        <v>0</v>
      </c>
      <c r="E29" s="3"/>
    </row>
    <row r="31" spans="2:12" x14ac:dyDescent="0.25">
      <c r="B31" s="124"/>
      <c r="C31" s="223" t="s">
        <v>381</v>
      </c>
      <c r="D31" s="223"/>
      <c r="E31" s="223"/>
    </row>
    <row r="32" spans="2:12" x14ac:dyDescent="0.25">
      <c r="B32" s="124"/>
      <c r="C32" s="3"/>
      <c r="D32" s="121" t="s">
        <v>112</v>
      </c>
      <c r="E32" s="118" t="s">
        <v>182</v>
      </c>
    </row>
    <row r="33" spans="1:10" x14ac:dyDescent="0.25">
      <c r="B33" s="124"/>
      <c r="C33" s="118" t="s">
        <v>175</v>
      </c>
      <c r="D33" s="3">
        <f>Inputs!K10</f>
        <v>0</v>
      </c>
      <c r="E33" s="3"/>
    </row>
    <row r="34" spans="1:10" x14ac:dyDescent="0.25">
      <c r="B34" s="17"/>
      <c r="C34" s="118" t="s">
        <v>176</v>
      </c>
      <c r="D34" s="3">
        <f>Inputs!K11</f>
        <v>0</v>
      </c>
      <c r="E34" s="3"/>
    </row>
    <row r="35" spans="1:10" x14ac:dyDescent="0.25">
      <c r="B35" s="124"/>
      <c r="C35" s="123" t="s">
        <v>177</v>
      </c>
      <c r="D35" s="69">
        <f>D33*I78</f>
        <v>0</v>
      </c>
      <c r="E35" s="3">
        <f>I105*D19+H105*(D21-D19*0.1)</f>
        <v>0</v>
      </c>
      <c r="F35" s="159" t="e">
        <f>D35/D33</f>
        <v>#DIV/0!</v>
      </c>
      <c r="G35" s="159" t="e">
        <f>E35/D33</f>
        <v>#DIV/0!</v>
      </c>
    </row>
    <row r="36" spans="1:10" x14ac:dyDescent="0.25">
      <c r="B36" s="124"/>
      <c r="C36" s="123" t="s">
        <v>178</v>
      </c>
      <c r="D36" s="69">
        <f>D34*I93</f>
        <v>0</v>
      </c>
      <c r="E36" s="3">
        <f>I112*D20+H112*(D34-D20*0.1)</f>
        <v>0</v>
      </c>
      <c r="F36" s="159" t="e">
        <f>D36/D34</f>
        <v>#DIV/0!</v>
      </c>
      <c r="G36" s="159" t="e">
        <f>E36/D34</f>
        <v>#DIV/0!</v>
      </c>
    </row>
    <row r="37" spans="1:10" x14ac:dyDescent="0.25">
      <c r="B37" s="124"/>
      <c r="C37" s="123" t="s">
        <v>27</v>
      </c>
      <c r="D37" s="68">
        <f>D36+D35</f>
        <v>0</v>
      </c>
      <c r="E37" s="3"/>
    </row>
    <row r="38" spans="1:10" x14ac:dyDescent="0.25">
      <c r="B38" s="124"/>
      <c r="C38" s="238" t="s">
        <v>216</v>
      </c>
      <c r="D38" s="239"/>
      <c r="E38" s="240"/>
    </row>
    <row r="39" spans="1:10" x14ac:dyDescent="0.25">
      <c r="B39" s="124"/>
      <c r="C39" s="123" t="s">
        <v>179</v>
      </c>
      <c r="D39" s="2">
        <f>IF(OR(Inputs!F20=1,Inputs!F20=3),Inputs!K18-Windows!D33*(1-Inputs!D36)-D34*(1-Inputs!D36),0)</f>
        <v>0</v>
      </c>
      <c r="E39" s="3"/>
    </row>
    <row r="40" spans="1:10" x14ac:dyDescent="0.25">
      <c r="B40" s="124"/>
      <c r="C40" s="123" t="s">
        <v>180</v>
      </c>
      <c r="D40" s="2">
        <f>IF(OR(Inputs!F20=3,Inputs!F20=2),Inputs!K17-Windows!D33*Inputs!D36-D34*Inputs!D36,0)</f>
        <v>0</v>
      </c>
      <c r="E40" s="3"/>
    </row>
    <row r="41" spans="1:10" x14ac:dyDescent="0.25">
      <c r="B41" s="124"/>
      <c r="C41" s="123" t="s">
        <v>27</v>
      </c>
      <c r="D41" s="2">
        <f>SUM(D39:D40)</f>
        <v>0</v>
      </c>
      <c r="E41" s="3"/>
    </row>
    <row r="43" spans="1:10" x14ac:dyDescent="0.25">
      <c r="A43" s="235" t="s">
        <v>199</v>
      </c>
      <c r="B43" s="235"/>
      <c r="C43" s="235"/>
      <c r="D43" s="235"/>
      <c r="E43" s="235"/>
      <c r="F43" s="235"/>
      <c r="G43" s="235"/>
      <c r="H43" s="235"/>
      <c r="I43" s="235"/>
      <c r="J43" s="99"/>
    </row>
    <row r="44" spans="1:10" x14ac:dyDescent="0.25">
      <c r="C44" s="18" t="s">
        <v>60</v>
      </c>
      <c r="D44" s="18" t="s">
        <v>382</v>
      </c>
      <c r="E44" s="18" t="s">
        <v>193</v>
      </c>
      <c r="F44" s="18" t="s">
        <v>194</v>
      </c>
      <c r="G44" s="18" t="s">
        <v>195</v>
      </c>
      <c r="H44" s="18" t="s">
        <v>198</v>
      </c>
      <c r="I44" s="134" t="s">
        <v>191</v>
      </c>
      <c r="J44" s="3"/>
    </row>
    <row r="45" spans="1:10" x14ac:dyDescent="0.25">
      <c r="A45" s="232" t="s">
        <v>181</v>
      </c>
      <c r="B45" s="228" t="s">
        <v>183</v>
      </c>
      <c r="C45" s="3">
        <v>700</v>
      </c>
      <c r="D45" s="3">
        <v>950</v>
      </c>
      <c r="E45" s="3">
        <f>(C45+D45)*10^-3</f>
        <v>1.6500000000000001</v>
      </c>
      <c r="F45" s="3">
        <v>551</v>
      </c>
      <c r="G45" s="154">
        <f xml:space="preserve"> F45/E45</f>
        <v>333.93939393939394</v>
      </c>
      <c r="H45" s="3">
        <v>35</v>
      </c>
      <c r="I45" s="155">
        <f xml:space="preserve"> AVERAGE(G45:G48)</f>
        <v>323.24386724386721</v>
      </c>
      <c r="J45" s="17"/>
    </row>
    <row r="46" spans="1:10" x14ac:dyDescent="0.25">
      <c r="A46" s="233"/>
      <c r="B46" s="228"/>
      <c r="C46" s="52">
        <v>1225</v>
      </c>
      <c r="D46" s="52">
        <v>1250</v>
      </c>
      <c r="E46" s="3">
        <f>(C46+D46)*10^-3</f>
        <v>2.4750000000000001</v>
      </c>
      <c r="F46" s="52">
        <v>783</v>
      </c>
      <c r="G46" s="155">
        <f xml:space="preserve"> F46/E46</f>
        <v>316.36363636363637</v>
      </c>
      <c r="H46" s="17"/>
      <c r="I46" s="17"/>
      <c r="J46" s="17"/>
    </row>
    <row r="47" spans="1:10" x14ac:dyDescent="0.25">
      <c r="A47" s="233"/>
      <c r="B47" s="228"/>
      <c r="C47" s="52">
        <v>700</v>
      </c>
      <c r="D47" s="52">
        <v>1050</v>
      </c>
      <c r="E47" s="52">
        <f>(C47+D47)*10^-3</f>
        <v>1.75</v>
      </c>
      <c r="F47" s="52">
        <v>559</v>
      </c>
      <c r="G47" s="156">
        <f xml:space="preserve"> F47/E47</f>
        <v>319.42857142857144</v>
      </c>
      <c r="H47" s="17"/>
      <c r="I47" s="17"/>
      <c r="J47" s="17"/>
    </row>
    <row r="48" spans="1:10" x14ac:dyDescent="0.25">
      <c r="A48" s="233"/>
      <c r="B48" s="228"/>
      <c r="C48" s="61"/>
      <c r="D48" s="61"/>
      <c r="E48" s="3"/>
      <c r="F48" s="61"/>
      <c r="G48" s="3"/>
      <c r="H48" s="17"/>
      <c r="I48" s="17"/>
      <c r="J48" s="17"/>
    </row>
    <row r="49" spans="1:10" x14ac:dyDescent="0.25">
      <c r="A49" s="233"/>
      <c r="B49" s="76"/>
      <c r="C49" s="17"/>
      <c r="D49" s="17"/>
      <c r="F49" s="17"/>
      <c r="H49" s="17"/>
      <c r="I49" s="17"/>
      <c r="J49" s="17"/>
    </row>
    <row r="50" spans="1:10" x14ac:dyDescent="0.25">
      <c r="A50" s="233"/>
      <c r="B50" s="76"/>
      <c r="C50" s="17"/>
      <c r="D50" s="17"/>
      <c r="F50" s="17"/>
      <c r="H50" s="17"/>
      <c r="I50" s="17"/>
      <c r="J50" s="17"/>
    </row>
    <row r="51" spans="1:10" x14ac:dyDescent="0.25">
      <c r="A51" s="233"/>
      <c r="B51" s="17"/>
      <c r="C51" s="17"/>
      <c r="D51" s="17"/>
      <c r="F51" s="17"/>
      <c r="H51" s="17"/>
      <c r="I51" s="17"/>
      <c r="J51" s="17"/>
    </row>
    <row r="52" spans="1:10" x14ac:dyDescent="0.25">
      <c r="A52" s="233"/>
      <c r="B52" s="17"/>
      <c r="C52" s="17"/>
      <c r="D52" s="17"/>
      <c r="F52" s="17"/>
      <c r="H52" s="17"/>
      <c r="I52" s="17"/>
      <c r="J52" s="17"/>
    </row>
    <row r="53" spans="1:10" x14ac:dyDescent="0.25">
      <c r="A53" s="233"/>
      <c r="B53" s="228" t="s">
        <v>184</v>
      </c>
      <c r="C53" s="52">
        <v>1500</v>
      </c>
      <c r="D53" s="52">
        <v>2200</v>
      </c>
      <c r="E53" s="3">
        <f>(C53+D53)*10^-3</f>
        <v>3.7</v>
      </c>
      <c r="F53" s="52">
        <v>1609</v>
      </c>
      <c r="G53" s="154">
        <f xml:space="preserve"> F53/E53</f>
        <v>434.86486486486484</v>
      </c>
      <c r="H53" s="17"/>
      <c r="I53" s="3" t="s">
        <v>383</v>
      </c>
      <c r="J53" s="17"/>
    </row>
    <row r="54" spans="1:10" x14ac:dyDescent="0.25">
      <c r="A54" s="233"/>
      <c r="B54" s="228"/>
      <c r="C54" s="52">
        <v>1790</v>
      </c>
      <c r="D54" s="52">
        <v>2170</v>
      </c>
      <c r="E54" s="3">
        <f>(C54+D54)*10^-3</f>
        <v>3.96</v>
      </c>
      <c r="F54" s="52">
        <v>1667</v>
      </c>
      <c r="G54" s="155">
        <f xml:space="preserve"> F54/E54</f>
        <v>420.95959595959596</v>
      </c>
      <c r="H54" s="17"/>
      <c r="I54" s="155">
        <f xml:space="preserve"> AVERAGE(G53:G55)</f>
        <v>387.365412609315</v>
      </c>
      <c r="J54" s="17"/>
    </row>
    <row r="55" spans="1:10" x14ac:dyDescent="0.25">
      <c r="A55" s="233"/>
      <c r="B55" s="228"/>
      <c r="C55" s="52">
        <v>700</v>
      </c>
      <c r="D55" s="52">
        <v>2170</v>
      </c>
      <c r="E55" s="3">
        <f>(C55+D55)*10^-3</f>
        <v>2.87</v>
      </c>
      <c r="F55" s="52">
        <v>879</v>
      </c>
      <c r="G55" s="156">
        <f xml:space="preserve"> F55/E55</f>
        <v>306.27177700348432</v>
      </c>
      <c r="I55" s="17"/>
    </row>
    <row r="56" spans="1:10" x14ac:dyDescent="0.25">
      <c r="A56" s="234"/>
      <c r="B56" s="228"/>
      <c r="C56" s="3"/>
      <c r="D56" s="3"/>
      <c r="E56" s="3">
        <f>(C56+D56)*10^-3</f>
        <v>0</v>
      </c>
      <c r="F56" s="3"/>
      <c r="G56" s="52"/>
    </row>
    <row r="57" spans="1:10" x14ac:dyDescent="0.25">
      <c r="B57" s="76"/>
      <c r="C57" s="1"/>
      <c r="D57" s="76"/>
      <c r="E57" s="76"/>
      <c r="F57" s="76"/>
      <c r="G57" s="76"/>
    </row>
    <row r="58" spans="1:10" x14ac:dyDescent="0.25">
      <c r="B58" s="76"/>
      <c r="C58" s="1"/>
      <c r="D58" s="76"/>
      <c r="E58" s="76"/>
      <c r="F58" s="76"/>
      <c r="G58" s="76"/>
    </row>
    <row r="59" spans="1:10" x14ac:dyDescent="0.25">
      <c r="C59" s="3" t="s">
        <v>188</v>
      </c>
      <c r="D59" s="3" t="s">
        <v>382</v>
      </c>
      <c r="E59" s="3" t="s">
        <v>193</v>
      </c>
      <c r="F59" s="3" t="s">
        <v>197</v>
      </c>
      <c r="G59" s="3" t="s">
        <v>196</v>
      </c>
    </row>
    <row r="60" spans="1:10" x14ac:dyDescent="0.25">
      <c r="A60" s="232" t="s">
        <v>112</v>
      </c>
      <c r="B60" s="228" t="s">
        <v>183</v>
      </c>
      <c r="C60" s="3">
        <v>700</v>
      </c>
      <c r="D60" s="3">
        <v>950</v>
      </c>
      <c r="E60" s="3">
        <f>(C60+D60)*10^-3</f>
        <v>1.6500000000000001</v>
      </c>
      <c r="F60" s="3">
        <v>397.65</v>
      </c>
      <c r="G60" s="155">
        <f xml:space="preserve"> F60/E60</f>
        <v>240.99999999999997</v>
      </c>
      <c r="I60" s="3" t="s">
        <v>384</v>
      </c>
    </row>
    <row r="61" spans="1:10" x14ac:dyDescent="0.25">
      <c r="A61" s="233"/>
      <c r="B61" s="228"/>
      <c r="C61" s="3">
        <v>1225</v>
      </c>
      <c r="D61" s="3">
        <v>1250</v>
      </c>
      <c r="E61" s="3">
        <f>(C61+D61)*10^-3</f>
        <v>2.4750000000000001</v>
      </c>
      <c r="F61" s="3">
        <v>553.22</v>
      </c>
      <c r="G61" s="155">
        <f xml:space="preserve"> F61/E61</f>
        <v>223.52323232323232</v>
      </c>
      <c r="I61" s="155">
        <f xml:space="preserve"> AVERAGE(G61:G63)</f>
        <v>237.1490684624018</v>
      </c>
    </row>
    <row r="62" spans="1:10" x14ac:dyDescent="0.25">
      <c r="A62" s="233"/>
      <c r="B62" s="228"/>
      <c r="C62" s="3">
        <v>1500</v>
      </c>
      <c r="D62" s="3">
        <v>1250</v>
      </c>
      <c r="E62" s="3">
        <f>(C62+D62)*10^-3</f>
        <v>2.75</v>
      </c>
      <c r="F62" s="3">
        <v>692.74</v>
      </c>
      <c r="G62" s="156">
        <f xml:space="preserve"> F62/E62</f>
        <v>251.90545454545455</v>
      </c>
    </row>
    <row r="63" spans="1:10" x14ac:dyDescent="0.25">
      <c r="A63" s="233"/>
      <c r="B63" s="228"/>
      <c r="C63" s="4">
        <v>700</v>
      </c>
      <c r="D63" s="4">
        <v>920</v>
      </c>
      <c r="E63" s="3">
        <f>(C63+D63)*10^-3</f>
        <v>1.62</v>
      </c>
      <c r="F63" s="4">
        <v>382.35</v>
      </c>
      <c r="G63" s="155">
        <f xml:space="preserve"> F63/E63</f>
        <v>236.0185185185185</v>
      </c>
    </row>
    <row r="64" spans="1:10" x14ac:dyDescent="0.25">
      <c r="A64" s="233"/>
      <c r="B64" s="76"/>
      <c r="G64" s="155"/>
    </row>
    <row r="65" spans="1:9" x14ac:dyDescent="0.25">
      <c r="A65" s="233"/>
      <c r="B65" s="229" t="s">
        <v>385</v>
      </c>
      <c r="C65" s="3">
        <v>3430</v>
      </c>
      <c r="D65" s="3">
        <v>2300</v>
      </c>
      <c r="E65" s="3">
        <f t="shared" ref="E65:E70" si="0">C65*D65*10^-6</f>
        <v>7.8889999999999993</v>
      </c>
      <c r="F65" s="3">
        <v>1993.61</v>
      </c>
      <c r="G65" s="156">
        <f t="shared" ref="G65:G70" si="1" xml:space="preserve"> F65/E65</f>
        <v>252.7075674990493</v>
      </c>
      <c r="I65" s="3" t="s">
        <v>61</v>
      </c>
    </row>
    <row r="66" spans="1:9" x14ac:dyDescent="0.25">
      <c r="A66" s="233"/>
      <c r="B66" s="230"/>
      <c r="C66" s="3">
        <v>3200</v>
      </c>
      <c r="D66" s="3">
        <v>2300</v>
      </c>
      <c r="E66" s="3">
        <f t="shared" si="0"/>
        <v>7.3599999999999994</v>
      </c>
      <c r="F66" s="3">
        <v>1237.48</v>
      </c>
      <c r="G66" s="155">
        <f t="shared" si="1"/>
        <v>168.1358695652174</v>
      </c>
      <c r="I66" s="155">
        <f xml:space="preserve"> AVERAGE(G65:G70)</f>
        <v>322.46226399036294</v>
      </c>
    </row>
    <row r="67" spans="1:9" x14ac:dyDescent="0.25">
      <c r="A67" s="233"/>
      <c r="B67" s="230"/>
      <c r="C67" s="3">
        <v>1500</v>
      </c>
      <c r="D67" s="3">
        <v>2200</v>
      </c>
      <c r="E67" s="3">
        <f t="shared" si="0"/>
        <v>3.3</v>
      </c>
      <c r="F67" s="3">
        <v>1199.29</v>
      </c>
      <c r="G67" s="155">
        <f t="shared" si="1"/>
        <v>363.42121212121214</v>
      </c>
    </row>
    <row r="68" spans="1:9" x14ac:dyDescent="0.25">
      <c r="A68" s="233"/>
      <c r="B68" s="230"/>
      <c r="C68" s="3">
        <v>1700</v>
      </c>
      <c r="D68" s="3">
        <v>2170</v>
      </c>
      <c r="E68" s="3">
        <f t="shared" si="0"/>
        <v>3.6889999999999996</v>
      </c>
      <c r="F68" s="3">
        <v>1241.79</v>
      </c>
      <c r="G68" s="156">
        <f t="shared" si="1"/>
        <v>336.61968013011659</v>
      </c>
    </row>
    <row r="69" spans="1:9" x14ac:dyDescent="0.25">
      <c r="A69" s="233"/>
      <c r="B69" s="230"/>
      <c r="C69" s="3">
        <v>900</v>
      </c>
      <c r="D69" s="3">
        <v>2170</v>
      </c>
      <c r="E69" s="3">
        <f t="shared" si="0"/>
        <v>1.9529999999999998</v>
      </c>
      <c r="F69" s="3">
        <v>736.03</v>
      </c>
      <c r="G69" s="155">
        <f t="shared" si="1"/>
        <v>376.87147977470562</v>
      </c>
    </row>
    <row r="70" spans="1:9" x14ac:dyDescent="0.25">
      <c r="A70" s="234"/>
      <c r="B70" s="231"/>
      <c r="C70" s="3">
        <v>700</v>
      </c>
      <c r="D70" s="3">
        <v>2170</v>
      </c>
      <c r="E70" s="3">
        <f t="shared" si="0"/>
        <v>1.5189999999999999</v>
      </c>
      <c r="F70" s="3">
        <v>663.83</v>
      </c>
      <c r="G70" s="155">
        <f t="shared" si="1"/>
        <v>437.01777485187631</v>
      </c>
    </row>
    <row r="71" spans="1:9" x14ac:dyDescent="0.25">
      <c r="B71" s="76"/>
    </row>
    <row r="72" spans="1:9" x14ac:dyDescent="0.25">
      <c r="B72" s="76"/>
    </row>
    <row r="73" spans="1:9" x14ac:dyDescent="0.25">
      <c r="B73" s="76"/>
    </row>
    <row r="74" spans="1:9" x14ac:dyDescent="0.25">
      <c r="B74" s="76"/>
    </row>
    <row r="76" spans="1:9" x14ac:dyDescent="0.25">
      <c r="A76" s="235" t="s">
        <v>386</v>
      </c>
      <c r="B76" s="235"/>
      <c r="C76" s="235"/>
      <c r="D76" s="235"/>
      <c r="E76" s="235"/>
      <c r="F76" s="235"/>
      <c r="G76" s="235"/>
      <c r="H76" s="235"/>
      <c r="I76" s="235"/>
    </row>
    <row r="77" spans="1:9" x14ac:dyDescent="0.25">
      <c r="C77" s="3" t="s">
        <v>188</v>
      </c>
      <c r="D77" s="3" t="s">
        <v>382</v>
      </c>
      <c r="E77" s="3" t="s">
        <v>193</v>
      </c>
      <c r="F77" s="3" t="s">
        <v>197</v>
      </c>
      <c r="G77" s="3" t="s">
        <v>196</v>
      </c>
      <c r="I77" s="3" t="s">
        <v>384</v>
      </c>
    </row>
    <row r="78" spans="1:9" x14ac:dyDescent="0.25">
      <c r="A78" s="226" t="s">
        <v>112</v>
      </c>
      <c r="B78" s="228" t="s">
        <v>185</v>
      </c>
      <c r="C78" s="18">
        <v>450</v>
      </c>
      <c r="D78" s="18">
        <v>500</v>
      </c>
      <c r="E78" s="18">
        <f>C78*D78*10^-6</f>
        <v>0.22499999999999998</v>
      </c>
      <c r="F78" s="18">
        <v>106.02</v>
      </c>
      <c r="G78" s="155">
        <f xml:space="preserve"> F78/E78</f>
        <v>471.20000000000005</v>
      </c>
      <c r="I78" s="155">
        <f xml:space="preserve"> AVERAGE(G78:G85)</f>
        <v>296.29014738202977</v>
      </c>
    </row>
    <row r="79" spans="1:9" x14ac:dyDescent="0.25">
      <c r="A79" s="226"/>
      <c r="B79" s="228"/>
      <c r="C79" s="3">
        <v>1000</v>
      </c>
      <c r="D79" s="3">
        <v>1250</v>
      </c>
      <c r="E79" s="3">
        <f t="shared" ref="E79:E98" si="2">C79*D79*10^-6</f>
        <v>1.25</v>
      </c>
      <c r="F79" s="3">
        <v>230.89</v>
      </c>
      <c r="G79" s="155">
        <f xml:space="preserve"> F79/E79</f>
        <v>184.71199999999999</v>
      </c>
    </row>
    <row r="80" spans="1:9" x14ac:dyDescent="0.25">
      <c r="A80" s="226"/>
      <c r="B80" s="228"/>
      <c r="C80" s="3">
        <v>950</v>
      </c>
      <c r="D80" s="3">
        <v>2100</v>
      </c>
      <c r="E80" s="3">
        <f t="shared" si="2"/>
        <v>1.9949999999999999</v>
      </c>
      <c r="F80" s="3">
        <v>487.92</v>
      </c>
      <c r="G80" s="156">
        <f t="shared" ref="G80:G98" si="3" xml:space="preserve"> F80/E80</f>
        <v>244.57142857142858</v>
      </c>
    </row>
    <row r="81" spans="1:9" x14ac:dyDescent="0.25">
      <c r="A81" s="226"/>
      <c r="B81" s="228"/>
      <c r="C81" s="3">
        <v>850</v>
      </c>
      <c r="D81" s="3">
        <v>2100</v>
      </c>
      <c r="E81" s="3">
        <f t="shared" si="2"/>
        <v>1.7849999999999999</v>
      </c>
      <c r="F81" s="3">
        <v>459.23</v>
      </c>
      <c r="G81" s="155">
        <f t="shared" si="3"/>
        <v>257.27170868347343</v>
      </c>
    </row>
    <row r="82" spans="1:9" x14ac:dyDescent="0.25">
      <c r="A82" s="226"/>
      <c r="B82" s="228"/>
      <c r="C82" s="3">
        <v>850</v>
      </c>
      <c r="D82" s="3">
        <v>1300</v>
      </c>
      <c r="E82" s="3">
        <f t="shared" si="2"/>
        <v>1.105</v>
      </c>
      <c r="F82" s="3">
        <v>227.31</v>
      </c>
      <c r="G82" s="155">
        <f t="shared" si="3"/>
        <v>205.71040723981901</v>
      </c>
    </row>
    <row r="83" spans="1:9" x14ac:dyDescent="0.25">
      <c r="A83" s="226"/>
      <c r="B83" s="228"/>
      <c r="C83" s="3">
        <v>950</v>
      </c>
      <c r="D83" s="3">
        <v>2100</v>
      </c>
      <c r="E83" s="3">
        <f t="shared" si="2"/>
        <v>1.9949999999999999</v>
      </c>
      <c r="F83" s="3">
        <v>487.92</v>
      </c>
      <c r="G83" s="156">
        <f t="shared" si="3"/>
        <v>244.57142857142858</v>
      </c>
    </row>
    <row r="84" spans="1:9" x14ac:dyDescent="0.25">
      <c r="A84" s="226"/>
      <c r="B84" s="228"/>
      <c r="C84" s="3">
        <v>350</v>
      </c>
      <c r="D84" s="3">
        <v>600</v>
      </c>
      <c r="E84" s="3">
        <f t="shared" si="2"/>
        <v>0.21</v>
      </c>
      <c r="F84" s="3">
        <v>105.13</v>
      </c>
      <c r="G84" s="155">
        <f t="shared" si="3"/>
        <v>500.61904761904759</v>
      </c>
    </row>
    <row r="85" spans="1:9" x14ac:dyDescent="0.25">
      <c r="A85" s="226"/>
      <c r="B85" s="228"/>
      <c r="C85" s="3">
        <v>850</v>
      </c>
      <c r="D85" s="3">
        <v>1950</v>
      </c>
      <c r="E85" s="3">
        <f t="shared" si="2"/>
        <v>1.6575</v>
      </c>
      <c r="F85" s="3">
        <v>433.71</v>
      </c>
      <c r="G85" s="155">
        <f t="shared" si="3"/>
        <v>261.66515837104072</v>
      </c>
    </row>
    <row r="86" spans="1:9" x14ac:dyDescent="0.25">
      <c r="A86" s="226"/>
      <c r="B86" s="228" t="s">
        <v>71</v>
      </c>
      <c r="C86" s="3">
        <v>650</v>
      </c>
      <c r="D86" s="3">
        <v>1000</v>
      </c>
      <c r="E86" s="3">
        <f t="shared" si="2"/>
        <v>0.65</v>
      </c>
      <c r="F86" s="3">
        <v>527.77</v>
      </c>
      <c r="G86" s="156">
        <f xml:space="preserve"> F86/E86</f>
        <v>811.95384615384614</v>
      </c>
    </row>
    <row r="87" spans="1:9" x14ac:dyDescent="0.25">
      <c r="A87" s="226"/>
      <c r="B87" s="228"/>
      <c r="C87" s="3">
        <v>550</v>
      </c>
      <c r="D87" s="3">
        <v>1000</v>
      </c>
      <c r="E87" s="3">
        <f t="shared" si="2"/>
        <v>0.54999999999999993</v>
      </c>
      <c r="F87" s="3">
        <v>357.27</v>
      </c>
      <c r="G87" s="155">
        <f t="shared" si="3"/>
        <v>649.58181818181822</v>
      </c>
    </row>
    <row r="88" spans="1:9" x14ac:dyDescent="0.25">
      <c r="A88" s="226"/>
      <c r="B88" s="97"/>
      <c r="C88" s="3"/>
      <c r="D88" s="3"/>
      <c r="E88" s="3"/>
      <c r="F88" s="3"/>
      <c r="G88" s="155"/>
    </row>
    <row r="89" spans="1:9" x14ac:dyDescent="0.25">
      <c r="A89" s="226"/>
      <c r="B89" s="78"/>
    </row>
    <row r="90" spans="1:9" x14ac:dyDescent="0.25">
      <c r="A90" s="226"/>
    </row>
    <row r="91" spans="1:9" x14ac:dyDescent="0.25">
      <c r="A91" s="226"/>
    </row>
    <row r="92" spans="1:9" x14ac:dyDescent="0.25">
      <c r="A92" s="226"/>
      <c r="B92" s="125" t="s">
        <v>186</v>
      </c>
      <c r="C92" s="3">
        <v>2500</v>
      </c>
      <c r="D92" s="3">
        <v>2050</v>
      </c>
      <c r="E92" s="3">
        <f t="shared" si="2"/>
        <v>5.125</v>
      </c>
      <c r="F92" s="3">
        <v>1032</v>
      </c>
      <c r="G92" s="155">
        <f t="shared" si="3"/>
        <v>201.36585365853659</v>
      </c>
      <c r="I92" s="3" t="s">
        <v>387</v>
      </c>
    </row>
    <row r="93" spans="1:9" ht="14.45" customHeight="1" x14ac:dyDescent="0.25">
      <c r="A93" s="226"/>
      <c r="B93" s="228" t="s">
        <v>70</v>
      </c>
      <c r="C93" s="3">
        <v>1300</v>
      </c>
      <c r="D93" s="3">
        <v>2100</v>
      </c>
      <c r="E93" s="3">
        <f t="shared" si="2"/>
        <v>2.73</v>
      </c>
      <c r="F93" s="3">
        <v>1100.92</v>
      </c>
      <c r="G93" s="155">
        <f t="shared" si="3"/>
        <v>403.2673992673993</v>
      </c>
      <c r="I93" s="155">
        <f xml:space="preserve"> AVERAGE(G92:G101)</f>
        <v>353.4493399956433</v>
      </c>
    </row>
    <row r="94" spans="1:9" x14ac:dyDescent="0.25">
      <c r="A94" s="226"/>
      <c r="B94" s="228"/>
      <c r="C94" s="3">
        <v>870</v>
      </c>
      <c r="D94" s="3">
        <v>2100</v>
      </c>
      <c r="E94" s="3">
        <f t="shared" si="2"/>
        <v>1.827</v>
      </c>
      <c r="F94" s="3">
        <v>938.36</v>
      </c>
      <c r="G94" s="156">
        <f t="shared" si="3"/>
        <v>513.60700602079919</v>
      </c>
    </row>
    <row r="95" spans="1:9" x14ac:dyDescent="0.25">
      <c r="A95" s="226"/>
      <c r="B95" s="228"/>
      <c r="C95" s="3">
        <v>600</v>
      </c>
      <c r="D95" s="3">
        <v>2100</v>
      </c>
      <c r="E95" s="3">
        <f t="shared" si="2"/>
        <v>1.26</v>
      </c>
      <c r="F95" s="3">
        <v>746.42</v>
      </c>
      <c r="G95" s="155">
        <f t="shared" si="3"/>
        <v>592.39682539682531</v>
      </c>
    </row>
    <row r="96" spans="1:9" x14ac:dyDescent="0.25">
      <c r="A96" s="226"/>
      <c r="B96" s="228" t="s">
        <v>186</v>
      </c>
      <c r="C96" s="3">
        <v>850</v>
      </c>
      <c r="D96" s="3">
        <v>2100</v>
      </c>
      <c r="E96" s="3">
        <f t="shared" si="2"/>
        <v>1.7849999999999999</v>
      </c>
      <c r="F96" s="3">
        <v>459.23</v>
      </c>
      <c r="G96" s="155">
        <f t="shared" si="3"/>
        <v>257.27170868347343</v>
      </c>
    </row>
    <row r="97" spans="1:9" x14ac:dyDescent="0.25">
      <c r="A97" s="226"/>
      <c r="B97" s="228"/>
      <c r="C97" s="3">
        <v>950</v>
      </c>
      <c r="D97" s="3">
        <v>2100</v>
      </c>
      <c r="E97" s="3">
        <f t="shared" si="2"/>
        <v>1.9949999999999999</v>
      </c>
      <c r="F97" s="3">
        <v>487.92</v>
      </c>
      <c r="G97" s="156">
        <f t="shared" si="3"/>
        <v>244.57142857142858</v>
      </c>
    </row>
    <row r="98" spans="1:9" x14ac:dyDescent="0.25">
      <c r="A98" s="226"/>
      <c r="B98" s="228"/>
      <c r="C98" s="3">
        <v>850</v>
      </c>
      <c r="D98" s="3">
        <v>1950</v>
      </c>
      <c r="E98" s="3">
        <f t="shared" si="2"/>
        <v>1.6575</v>
      </c>
      <c r="F98" s="3">
        <v>433.71</v>
      </c>
      <c r="G98" s="155">
        <f t="shared" si="3"/>
        <v>261.66515837104072</v>
      </c>
    </row>
    <row r="99" spans="1:9" x14ac:dyDescent="0.25">
      <c r="A99" s="226"/>
      <c r="B99" s="228"/>
      <c r="C99" s="3"/>
      <c r="D99" s="3"/>
      <c r="E99" s="3"/>
      <c r="F99" s="3"/>
      <c r="G99" s="155"/>
    </row>
    <row r="100" spans="1:9" x14ac:dyDescent="0.25">
      <c r="A100" s="226"/>
      <c r="B100" s="228"/>
      <c r="C100" s="3"/>
      <c r="D100" s="3"/>
      <c r="E100" s="3"/>
      <c r="F100" s="3"/>
      <c r="G100" s="3"/>
    </row>
    <row r="101" spans="1:9" x14ac:dyDescent="0.25">
      <c r="A101" s="226"/>
      <c r="B101" s="228"/>
      <c r="C101" s="3"/>
      <c r="D101" s="3"/>
      <c r="E101" s="3"/>
      <c r="F101" s="3"/>
      <c r="G101" s="3"/>
    </row>
    <row r="104" spans="1:9" x14ac:dyDescent="0.25">
      <c r="C104" s="3" t="s">
        <v>188</v>
      </c>
      <c r="D104" s="3" t="s">
        <v>382</v>
      </c>
      <c r="E104" s="3" t="s">
        <v>193</v>
      </c>
      <c r="F104" s="3" t="s">
        <v>194</v>
      </c>
      <c r="G104" s="3" t="s">
        <v>195</v>
      </c>
      <c r="H104" s="3" t="s">
        <v>190</v>
      </c>
      <c r="I104" s="4" t="s">
        <v>191</v>
      </c>
    </row>
    <row r="105" spans="1:9" x14ac:dyDescent="0.25">
      <c r="A105" s="224" t="s">
        <v>182</v>
      </c>
      <c r="B105" s="228" t="s">
        <v>187</v>
      </c>
      <c r="C105" s="3">
        <v>700</v>
      </c>
      <c r="D105" s="3">
        <v>950</v>
      </c>
      <c r="E105" s="3">
        <f>(C105+D105)*10^-3</f>
        <v>1.6500000000000001</v>
      </c>
      <c r="F105" s="3">
        <v>551</v>
      </c>
      <c r="G105" s="155">
        <f xml:space="preserve"> F105/E105</f>
        <v>333.93939393939394</v>
      </c>
      <c r="H105" s="133">
        <v>45</v>
      </c>
      <c r="I105" s="155">
        <f>AVERAGE(G105:G107)</f>
        <v>323.24386724386721</v>
      </c>
    </row>
    <row r="106" spans="1:9" x14ac:dyDescent="0.25">
      <c r="A106" s="224"/>
      <c r="B106" s="228"/>
      <c r="C106" s="52">
        <v>1225</v>
      </c>
      <c r="D106" s="52">
        <v>1250</v>
      </c>
      <c r="E106" s="3">
        <f>(C106+D106)*10^-3</f>
        <v>2.4750000000000001</v>
      </c>
      <c r="F106" s="52">
        <v>783</v>
      </c>
      <c r="G106" s="155">
        <f xml:space="preserve"> F106/E106</f>
        <v>316.36363636363637</v>
      </c>
    </row>
    <row r="107" spans="1:9" x14ac:dyDescent="0.25">
      <c r="A107" s="224"/>
      <c r="B107" s="228"/>
      <c r="C107" s="52">
        <v>700</v>
      </c>
      <c r="D107" s="52">
        <v>1050</v>
      </c>
      <c r="E107" s="52">
        <f>(C107+D107)*10^-3</f>
        <v>1.75</v>
      </c>
      <c r="F107" s="52">
        <v>559</v>
      </c>
      <c r="G107" s="156">
        <f xml:space="preserve"> F107/E107</f>
        <v>319.42857142857144</v>
      </c>
    </row>
    <row r="108" spans="1:9" x14ac:dyDescent="0.25">
      <c r="A108" s="224"/>
      <c r="B108" s="228"/>
      <c r="C108" s="70"/>
      <c r="D108" s="70"/>
      <c r="E108" s="3"/>
      <c r="F108" s="70"/>
      <c r="G108" s="155"/>
    </row>
    <row r="109" spans="1:9" x14ac:dyDescent="0.25">
      <c r="A109" s="224"/>
    </row>
    <row r="110" spans="1:9" x14ac:dyDescent="0.25">
      <c r="A110" s="224"/>
    </row>
    <row r="111" spans="1:9" x14ac:dyDescent="0.25">
      <c r="A111" s="224"/>
      <c r="B111" s="228" t="s">
        <v>184</v>
      </c>
      <c r="C111" s="52">
        <v>1500</v>
      </c>
      <c r="D111" s="52">
        <v>2200</v>
      </c>
      <c r="E111" s="3">
        <f>(C111+D111)*10^-3</f>
        <v>3.7</v>
      </c>
      <c r="F111" s="52">
        <v>1609</v>
      </c>
      <c r="G111" s="155">
        <f xml:space="preserve"> F111/E111</f>
        <v>434.86486486486484</v>
      </c>
      <c r="H111" s="133" t="s">
        <v>190</v>
      </c>
      <c r="I111" s="3" t="s">
        <v>192</v>
      </c>
    </row>
    <row r="112" spans="1:9" x14ac:dyDescent="0.25">
      <c r="A112" s="224"/>
      <c r="B112" s="228"/>
      <c r="C112" s="52">
        <v>1790</v>
      </c>
      <c r="D112" s="52">
        <v>2170</v>
      </c>
      <c r="E112" s="3">
        <f>(C112+D112)*10^-3</f>
        <v>3.96</v>
      </c>
      <c r="F112" s="52">
        <v>1667</v>
      </c>
      <c r="G112" s="155">
        <f xml:space="preserve"> F112/E112</f>
        <v>420.95959595959596</v>
      </c>
      <c r="H112" s="133">
        <v>45</v>
      </c>
      <c r="I112" s="155">
        <f xml:space="preserve"> AVERAGE(G111:G113)</f>
        <v>387.365412609315</v>
      </c>
    </row>
    <row r="113" spans="1:9" x14ac:dyDescent="0.25">
      <c r="A113" s="224"/>
      <c r="B113" s="228"/>
      <c r="C113" s="52">
        <v>700</v>
      </c>
      <c r="D113" s="52">
        <v>2170</v>
      </c>
      <c r="E113" s="3">
        <f>(C113+D113)*10^-3</f>
        <v>2.87</v>
      </c>
      <c r="F113" s="52">
        <v>879</v>
      </c>
      <c r="G113" s="156">
        <f xml:space="preserve"> F113/E113</f>
        <v>306.27177700348432</v>
      </c>
      <c r="I113" s="17"/>
    </row>
    <row r="114" spans="1:9" x14ac:dyDescent="0.25">
      <c r="A114" s="224"/>
      <c r="B114" s="228"/>
      <c r="C114" s="3"/>
      <c r="D114" s="3"/>
      <c r="E114" s="3"/>
      <c r="F114" s="3"/>
      <c r="G114" s="155"/>
    </row>
  </sheetData>
  <sheetProtection sheet="1" objects="1" scenarios="1" formatCells="0"/>
  <mergeCells count="28">
    <mergeCell ref="C31:E31"/>
    <mergeCell ref="B78:B85"/>
    <mergeCell ref="B45:B48"/>
    <mergeCell ref="B53:B56"/>
    <mergeCell ref="F5:F6"/>
    <mergeCell ref="F7:F8"/>
    <mergeCell ref="F9:F10"/>
    <mergeCell ref="F11:F12"/>
    <mergeCell ref="E5:E6"/>
    <mergeCell ref="E7:E8"/>
    <mergeCell ref="E9:E10"/>
    <mergeCell ref="E11:E12"/>
    <mergeCell ref="C17:E17"/>
    <mergeCell ref="A43:I43"/>
    <mergeCell ref="C26:E26"/>
    <mergeCell ref="C38:E38"/>
    <mergeCell ref="B111:B114"/>
    <mergeCell ref="A105:A114"/>
    <mergeCell ref="B65:B70"/>
    <mergeCell ref="A45:A56"/>
    <mergeCell ref="A60:A70"/>
    <mergeCell ref="B60:B63"/>
    <mergeCell ref="A78:A101"/>
    <mergeCell ref="B86:B87"/>
    <mergeCell ref="B93:B95"/>
    <mergeCell ref="B96:B101"/>
    <mergeCell ref="B105:B108"/>
    <mergeCell ref="A76:I76"/>
  </mergeCells>
  <pageMargins left="0.7" right="0.7" top="0.75" bottom="0.75" header="0.3" footer="0.3"/>
  <pageSetup paperSize="9" orientation="portrait" horizontalDpi="204" verticalDpi="196"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W182"/>
  <sheetViews>
    <sheetView topLeftCell="A11" zoomScale="70" zoomScaleNormal="70" workbookViewId="0">
      <selection activeCell="Q34" sqref="Q34"/>
    </sheetView>
  </sheetViews>
  <sheetFormatPr baseColWidth="10" defaultColWidth="9.140625" defaultRowHeight="15" outlineLevelRow="1" x14ac:dyDescent="0.25"/>
  <cols>
    <col min="1" max="1" width="18.5703125" customWidth="1"/>
    <col min="2" max="2" width="47.28515625" customWidth="1"/>
    <col min="3" max="6" width="12" bestFit="1" customWidth="1"/>
    <col min="8" max="8" width="11.5703125" customWidth="1"/>
    <col min="9" max="9" width="61.7109375" customWidth="1"/>
    <col min="10" max="11" width="10.42578125" bestFit="1" customWidth="1"/>
    <col min="12" max="12" width="9.85546875" bestFit="1" customWidth="1"/>
    <col min="13" max="13" width="10.42578125" bestFit="1" customWidth="1"/>
    <col min="16" max="16" width="21.42578125" customWidth="1"/>
    <col min="17" max="17" width="11.85546875" bestFit="1" customWidth="1"/>
    <col min="19" max="19" width="25.7109375" bestFit="1" customWidth="1"/>
    <col min="20" max="20" width="11.85546875" bestFit="1" customWidth="1"/>
    <col min="23" max="23" width="19.28515625" bestFit="1" customWidth="1"/>
  </cols>
  <sheetData>
    <row r="1" spans="1:14" hidden="1" outlineLevel="1" x14ac:dyDescent="0.25"/>
    <row r="2" spans="1:14" hidden="1" outlineLevel="1" x14ac:dyDescent="0.25">
      <c r="B2" s="35" t="s">
        <v>360</v>
      </c>
      <c r="D2" s="53" t="s">
        <v>361</v>
      </c>
      <c r="E2" s="54"/>
      <c r="F2" s="54"/>
      <c r="G2" s="3"/>
      <c r="H2" s="3"/>
    </row>
    <row r="3" spans="1:14" hidden="1" outlineLevel="1" x14ac:dyDescent="0.25">
      <c r="A3" s="38"/>
      <c r="B3" s="39" t="s">
        <v>50</v>
      </c>
    </row>
    <row r="4" spans="1:14" hidden="1" outlineLevel="1" x14ac:dyDescent="0.25">
      <c r="B4" s="36" t="s">
        <v>51</v>
      </c>
    </row>
    <row r="5" spans="1:14" hidden="1" outlineLevel="1" x14ac:dyDescent="0.25">
      <c r="B5" s="36" t="s">
        <v>52</v>
      </c>
    </row>
    <row r="6" spans="1:14" hidden="1" outlineLevel="1" x14ac:dyDescent="0.25">
      <c r="B6" s="36" t="s">
        <v>53</v>
      </c>
      <c r="F6" s="43"/>
    </row>
    <row r="7" spans="1:14" hidden="1" outlineLevel="1" x14ac:dyDescent="0.25">
      <c r="B7" s="36" t="s">
        <v>54</v>
      </c>
      <c r="C7" s="40"/>
    </row>
    <row r="8" spans="1:14" hidden="1" outlineLevel="1" x14ac:dyDescent="0.25">
      <c r="B8" s="37" t="s">
        <v>55</v>
      </c>
    </row>
    <row r="9" spans="1:14" hidden="1" outlineLevel="1" x14ac:dyDescent="0.25"/>
    <row r="10" spans="1:14" hidden="1" outlineLevel="1" x14ac:dyDescent="0.25"/>
    <row r="11" spans="1:14" collapsed="1" x14ac:dyDescent="0.25">
      <c r="B11" s="259" t="s">
        <v>263</v>
      </c>
      <c r="C11" s="260"/>
      <c r="D11" s="260"/>
      <c r="E11" s="260"/>
      <c r="F11" s="260"/>
      <c r="G11" s="260"/>
      <c r="H11" s="260"/>
      <c r="I11" s="260"/>
      <c r="J11" s="260"/>
      <c r="K11" s="260"/>
      <c r="L11" s="260"/>
      <c r="M11" s="260"/>
      <c r="N11" s="261"/>
    </row>
    <row r="13" spans="1:14" x14ac:dyDescent="0.25">
      <c r="B13" s="127" t="s">
        <v>75</v>
      </c>
      <c r="C13" s="50">
        <f>Inputs!L4</f>
        <v>0</v>
      </c>
    </row>
    <row r="14" spans="1:14" x14ac:dyDescent="0.25">
      <c r="B14" s="131" t="s">
        <v>215</v>
      </c>
      <c r="C14" s="50">
        <f>Windows!D39</f>
        <v>0</v>
      </c>
    </row>
    <row r="15" spans="1:14" ht="16.149999999999999" customHeight="1" x14ac:dyDescent="0.25">
      <c r="B15" s="131" t="s">
        <v>362</v>
      </c>
      <c r="C15" s="50">
        <f>Windows!D40</f>
        <v>0</v>
      </c>
      <c r="E15" s="220" t="s">
        <v>222</v>
      </c>
      <c r="F15" s="221"/>
      <c r="G15" s="222"/>
      <c r="H15" s="21"/>
      <c r="I15" s="45">
        <v>1</v>
      </c>
    </row>
    <row r="16" spans="1:14" ht="16.149999999999999" customHeight="1" x14ac:dyDescent="0.25">
      <c r="B16" s="3" t="s">
        <v>260</v>
      </c>
      <c r="C16" s="50">
        <f>Inputs!F10</f>
        <v>0</v>
      </c>
      <c r="E16" s="17"/>
      <c r="F16" s="17"/>
      <c r="G16" s="17"/>
      <c r="I16" s="22"/>
    </row>
    <row r="17" spans="2:23" ht="16.149999999999999" customHeight="1" x14ac:dyDescent="0.25">
      <c r="B17" s="130" t="s">
        <v>261</v>
      </c>
      <c r="C17" s="50">
        <f>Inputs!F24</f>
        <v>0</v>
      </c>
      <c r="E17" s="17"/>
      <c r="F17" s="17"/>
      <c r="G17" s="17"/>
      <c r="I17" s="22"/>
    </row>
    <row r="18" spans="2:23" ht="16.149999999999999" customHeight="1" x14ac:dyDescent="0.25">
      <c r="B18" s="4" t="s">
        <v>363</v>
      </c>
      <c r="C18" s="94">
        <f>IF(C19&lt;&gt;0,C19,C20)</f>
        <v>160</v>
      </c>
      <c r="E18" s="17"/>
      <c r="F18" s="17"/>
      <c r="G18" s="17"/>
      <c r="I18" s="22"/>
    </row>
    <row r="19" spans="2:23" ht="16.149999999999999" customHeight="1" x14ac:dyDescent="0.25">
      <c r="B19" s="4" t="s">
        <v>220</v>
      </c>
      <c r="C19" s="49">
        <f>IF(Inputs!D46&lt;&gt;0,Inputs!D46/((10^-3)*Inputs!D47),0)</f>
        <v>0</v>
      </c>
      <c r="E19" s="17"/>
      <c r="F19" s="17"/>
      <c r="G19" s="17"/>
      <c r="I19" s="22"/>
    </row>
    <row r="20" spans="2:23" ht="16.149999999999999" customHeight="1" x14ac:dyDescent="0.25">
      <c r="B20" s="4" t="s">
        <v>433</v>
      </c>
      <c r="C20" s="192">
        <v>160</v>
      </c>
      <c r="E20" s="17"/>
      <c r="F20" s="17"/>
      <c r="G20" s="17"/>
      <c r="I20" s="22"/>
    </row>
    <row r="21" spans="2:23" ht="16.149999999999999" customHeight="1" x14ac:dyDescent="0.25">
      <c r="B21" s="4" t="s">
        <v>434</v>
      </c>
      <c r="C21" s="49">
        <v>400</v>
      </c>
      <c r="F21" s="17"/>
      <c r="G21" s="17"/>
      <c r="I21" s="22"/>
    </row>
    <row r="22" spans="2:23" ht="16.149999999999999" customHeight="1" x14ac:dyDescent="0.25">
      <c r="F22" s="17"/>
      <c r="G22" s="17"/>
      <c r="I22" s="22"/>
    </row>
    <row r="23" spans="2:23" ht="16.149999999999999" customHeight="1" x14ac:dyDescent="0.25">
      <c r="F23" s="17"/>
      <c r="G23" s="17"/>
      <c r="I23" s="22"/>
    </row>
    <row r="24" spans="2:23" x14ac:dyDescent="0.25">
      <c r="I24" s="22"/>
    </row>
    <row r="27" spans="2:23" x14ac:dyDescent="0.25">
      <c r="B27" s="250" t="s">
        <v>200</v>
      </c>
      <c r="C27" s="251"/>
      <c r="D27" s="251"/>
      <c r="E27" s="251"/>
      <c r="F27" s="251"/>
      <c r="G27" s="251"/>
      <c r="H27" s="251"/>
      <c r="I27" s="251"/>
      <c r="J27" s="251"/>
      <c r="K27" s="251"/>
      <c r="L27" s="251"/>
      <c r="M27" s="252"/>
    </row>
    <row r="28" spans="2:23" x14ac:dyDescent="0.25">
      <c r="B28" s="253" t="s">
        <v>201</v>
      </c>
      <c r="C28" s="253"/>
      <c r="D28" s="253"/>
      <c r="E28" s="253"/>
      <c r="F28" s="253"/>
      <c r="I28" s="253" t="s">
        <v>201</v>
      </c>
      <c r="J28" s="253"/>
      <c r="K28" s="253"/>
      <c r="L28" s="253"/>
      <c r="M28" s="253"/>
    </row>
    <row r="29" spans="2:23" x14ac:dyDescent="0.25">
      <c r="B29" s="254" t="s">
        <v>357</v>
      </c>
      <c r="C29" s="254"/>
      <c r="D29" s="254"/>
      <c r="E29" s="254"/>
      <c r="F29" s="254"/>
      <c r="I29" s="254" t="s">
        <v>202</v>
      </c>
      <c r="J29" s="254"/>
      <c r="K29" s="254"/>
      <c r="L29" s="254"/>
      <c r="M29" s="254"/>
      <c r="P29" s="241" t="s">
        <v>242</v>
      </c>
      <c r="Q29" s="241"/>
      <c r="R29" s="241"/>
      <c r="S29" s="241"/>
      <c r="T29" s="241"/>
    </row>
    <row r="30" spans="2:23" x14ac:dyDescent="0.25">
      <c r="B30" s="127" t="s">
        <v>75</v>
      </c>
      <c r="C30" s="3" t="s">
        <v>4</v>
      </c>
      <c r="D30" s="3" t="s">
        <v>5</v>
      </c>
      <c r="E30" s="3" t="s">
        <v>6</v>
      </c>
      <c r="F30" s="3" t="s">
        <v>7</v>
      </c>
      <c r="I30" s="127" t="s">
        <v>75</v>
      </c>
      <c r="J30" s="3" t="s">
        <v>4</v>
      </c>
      <c r="K30" s="3" t="s">
        <v>5</v>
      </c>
      <c r="L30" s="3" t="s">
        <v>6</v>
      </c>
      <c r="M30" s="3" t="s">
        <v>7</v>
      </c>
      <c r="P30" s="242" t="s">
        <v>48</v>
      </c>
      <c r="Q30" s="243"/>
      <c r="S30" s="242" t="s">
        <v>252</v>
      </c>
      <c r="T30" s="243"/>
    </row>
    <row r="31" spans="2:23" ht="16.899999999999999" customHeight="1" x14ac:dyDescent="0.25">
      <c r="B31" s="3" t="s">
        <v>203</v>
      </c>
      <c r="C31" s="3">
        <v>0.6</v>
      </c>
      <c r="D31" s="3">
        <v>0.5</v>
      </c>
      <c r="E31" s="3">
        <v>0.45</v>
      </c>
      <c r="F31" s="3">
        <v>0.4</v>
      </c>
      <c r="I31" s="3" t="s">
        <v>203</v>
      </c>
      <c r="J31" s="46">
        <v>0.5</v>
      </c>
      <c r="K31" s="46">
        <v>0.45</v>
      </c>
      <c r="L31" s="46">
        <v>0.4</v>
      </c>
      <c r="M31" s="46">
        <v>0.3</v>
      </c>
      <c r="P31" s="27" t="s">
        <v>249</v>
      </c>
      <c r="Q31" s="28">
        <f>IF(Inputs!D5=5,IF(C14&lt;&gt;0,INDEX(Areas!C40:F40,MATCH(C13,Areas!C30:F30,0)),FALSE),Inputs!D46*C14)</f>
        <v>0</v>
      </c>
      <c r="S31" s="27" t="s">
        <v>249</v>
      </c>
      <c r="T31" s="28" t="e">
        <f>IF(Inputs!D5=5,IF(C14&lt;&gt;0,INDEX(Areas!C54:F54,MATCH(C13,Areas!C30:F30,0)),FALSE),Inputs!D46/(Inputs!D47*10^-3)*210*10^-3*C14)</f>
        <v>#DIV/0!</v>
      </c>
    </row>
    <row r="32" spans="2:23" ht="15" customHeight="1" x14ac:dyDescent="0.25">
      <c r="B32" s="3" t="s">
        <v>204</v>
      </c>
      <c r="C32" s="3">
        <v>30</v>
      </c>
      <c r="D32" s="3">
        <v>40</v>
      </c>
      <c r="E32" s="3">
        <v>50</v>
      </c>
      <c r="F32" s="3">
        <v>60</v>
      </c>
      <c r="I32" s="223" t="s">
        <v>213</v>
      </c>
      <c r="J32" s="223"/>
      <c r="K32" s="223"/>
      <c r="L32" s="223"/>
      <c r="M32" s="223"/>
      <c r="P32" s="27" t="s">
        <v>247</v>
      </c>
      <c r="Q32" s="24">
        <f>IF(Inputs!D5=5,IF(AND(C15&lt;&gt;0,I15=1),INDEX(J39:M39,MATCH(C13,Areas!J30:M30,0)),FALSE),Inputs!D46*Areas!C15)</f>
        <v>0</v>
      </c>
      <c r="S32" s="27" t="s">
        <v>247</v>
      </c>
      <c r="T32" s="24" t="e">
        <f>IF(Inputs!D5=5,IF(AND(C15&lt;&gt;0,I15=1),INDEX(Areas!J55:M55,MATCH(C13,Areas!J30:M30,0)),FALSE),Inputs!D46/(Inputs!D47*10^-3)*210*10^-3*C15)</f>
        <v>#DIV/0!</v>
      </c>
      <c r="V32" s="3" t="s">
        <v>422</v>
      </c>
      <c r="W32" s="146" t="e">
        <f>T32+T82+C176+D180+T31+T81</f>
        <v>#DIV/0!</v>
      </c>
    </row>
    <row r="33" spans="1:23" ht="15" customHeight="1" x14ac:dyDescent="0.25">
      <c r="B33" s="3" t="s">
        <v>203</v>
      </c>
      <c r="C33" s="46">
        <v>0.5</v>
      </c>
      <c r="D33" s="46">
        <v>0.45</v>
      </c>
      <c r="E33" s="46">
        <v>0.4</v>
      </c>
      <c r="F33" s="46">
        <v>0.3</v>
      </c>
      <c r="H33" s="126" t="s">
        <v>209</v>
      </c>
      <c r="I33" s="3" t="s">
        <v>211</v>
      </c>
      <c r="J33" s="3">
        <v>70</v>
      </c>
      <c r="K33" s="3">
        <v>80</v>
      </c>
      <c r="L33" s="3">
        <v>90</v>
      </c>
      <c r="M33" s="3">
        <v>130</v>
      </c>
      <c r="P33" s="91"/>
      <c r="Q33" s="92"/>
      <c r="S33" s="91"/>
      <c r="T33" s="92"/>
      <c r="V33" s="3" t="s">
        <v>423</v>
      </c>
      <c r="W33" s="146">
        <f>T34+T83</f>
        <v>0</v>
      </c>
    </row>
    <row r="34" spans="1:23" ht="16.149999999999999" customHeight="1" x14ac:dyDescent="0.25">
      <c r="A34" s="126" t="s">
        <v>209</v>
      </c>
      <c r="B34" s="3" t="s">
        <v>205</v>
      </c>
      <c r="C34" s="3">
        <v>45</v>
      </c>
      <c r="D34" s="3">
        <v>60</v>
      </c>
      <c r="E34" s="3">
        <v>70</v>
      </c>
      <c r="F34" s="3">
        <v>90</v>
      </c>
      <c r="H34" s="3" t="s">
        <v>212</v>
      </c>
      <c r="I34" s="3" t="s">
        <v>211</v>
      </c>
      <c r="J34" s="3">
        <v>40</v>
      </c>
      <c r="K34" s="3">
        <v>50</v>
      </c>
      <c r="L34" s="3">
        <v>60</v>
      </c>
      <c r="M34" s="3">
        <v>90</v>
      </c>
      <c r="P34" s="119" t="s">
        <v>245</v>
      </c>
      <c r="Q34" s="23">
        <f>20*Windows!D29</f>
        <v>0</v>
      </c>
      <c r="S34" s="119" t="s">
        <v>245</v>
      </c>
      <c r="T34" s="23">
        <f>40*Windows!D41</f>
        <v>0</v>
      </c>
      <c r="V34" s="3" t="s">
        <v>421</v>
      </c>
      <c r="W34" s="148">
        <f>T35+V84</f>
        <v>0</v>
      </c>
    </row>
    <row r="35" spans="1:23" ht="16.149999999999999" customHeight="1" x14ac:dyDescent="0.25">
      <c r="A35" s="3" t="s">
        <v>212</v>
      </c>
      <c r="B35" s="3" t="s">
        <v>205</v>
      </c>
      <c r="C35" s="3">
        <v>0</v>
      </c>
      <c r="D35" s="3">
        <v>0</v>
      </c>
      <c r="E35" s="3">
        <v>0</v>
      </c>
      <c r="F35" s="3">
        <v>40</v>
      </c>
      <c r="I35" s="3"/>
      <c r="J35" s="3"/>
      <c r="K35" s="3"/>
      <c r="L35" s="3"/>
      <c r="M35" s="3"/>
      <c r="P35" s="3"/>
      <c r="Q35" s="23"/>
      <c r="S35" s="3" t="s">
        <v>421</v>
      </c>
      <c r="T35" s="23">
        <f>20*C15</f>
        <v>0</v>
      </c>
      <c r="V35" s="4" t="s">
        <v>97</v>
      </c>
      <c r="W35" s="146" t="e">
        <f>SUM(W32:W34)</f>
        <v>#DIV/0!</v>
      </c>
    </row>
    <row r="36" spans="1:23" ht="16.149999999999999" customHeight="1" x14ac:dyDescent="0.25">
      <c r="B36" s="3"/>
      <c r="C36" s="3"/>
      <c r="D36" s="3"/>
      <c r="E36" s="3"/>
      <c r="F36" s="3"/>
      <c r="I36" s="3" t="s">
        <v>206</v>
      </c>
      <c r="J36" s="3">
        <f xml:space="preserve"> IF($C$16=1,J33,IF($C$16=2,J34,0))</f>
        <v>0</v>
      </c>
      <c r="K36" s="3">
        <f xml:space="preserve"> IF($C$16=1,K33,IF($C$16=2,K34,0))</f>
        <v>0</v>
      </c>
      <c r="L36" s="3">
        <f xml:space="preserve"> IF($C$16=1,L33,IF($C$16=2,L34,0))</f>
        <v>0</v>
      </c>
      <c r="M36" s="3">
        <f xml:space="preserve"> IF($C$16=1,M33,IF($C$16=2,M34,0))</f>
        <v>0</v>
      </c>
      <c r="P36" s="3"/>
      <c r="Q36" s="23"/>
      <c r="S36" s="3"/>
      <c r="T36" s="23"/>
    </row>
    <row r="37" spans="1:23" ht="13.9" customHeight="1" x14ac:dyDescent="0.25">
      <c r="B37" s="3" t="s">
        <v>206</v>
      </c>
      <c r="C37" s="3" t="b">
        <f>IF($C$16=1,C34,IF($C$16=2,C35,IF($C$16=3,C36)))</f>
        <v>0</v>
      </c>
      <c r="D37" s="3" t="b">
        <f>IF($C$16=1,D34,IF($C$16=2,D35,IF($C$16=3,D36)))</f>
        <v>0</v>
      </c>
      <c r="E37" s="3" t="b">
        <f>IF($C$16=1,E34,IF($C$16=2,E35,IF($C$16=3,E36)))</f>
        <v>0</v>
      </c>
      <c r="F37" s="3" t="b">
        <f>IF($C$16=1,F34,IF($C$16=2,F35,IF($C$16=3,F36)))</f>
        <v>0</v>
      </c>
      <c r="I37" s="4" t="s">
        <v>262</v>
      </c>
      <c r="J37" s="3">
        <f>IF($C$19&lt;&gt;0,$C$19*((10^-3)*J34),$C$21*((10^-3)*(J34)))</f>
        <v>16</v>
      </c>
      <c r="K37" s="3">
        <f>IF($C$19&lt;&gt;0,$C$19*((10^-3)*K34),$C$21*((10^-3)*(K34)))</f>
        <v>20</v>
      </c>
      <c r="L37" s="3">
        <f>IF($C$19&lt;&gt;0,$C$19*((10^-3)*L34),$C$21*((10^-3)*(L34)))</f>
        <v>24</v>
      </c>
      <c r="M37" s="3">
        <f>IF($C$19&lt;&gt;0,$C$19*((10^-3)*M34),$C$21*((10^-3)*(M34)))</f>
        <v>36</v>
      </c>
      <c r="P37" s="3" t="s">
        <v>254</v>
      </c>
      <c r="Q37" s="20">
        <f>SUM(Q31:Q34)</f>
        <v>0</v>
      </c>
      <c r="S37" s="3" t="s">
        <v>254</v>
      </c>
      <c r="T37" s="20" t="e">
        <f>IF(T32&lt;&gt;0,SUM(T31:T34),SUM(T31:T35))</f>
        <v>#DIV/0!</v>
      </c>
    </row>
    <row r="38" spans="1:23" x14ac:dyDescent="0.25">
      <c r="A38" s="44"/>
      <c r="B38" s="3"/>
      <c r="C38" s="3"/>
      <c r="D38" s="3"/>
      <c r="E38" s="3"/>
      <c r="F38" s="3"/>
      <c r="I38" s="90"/>
      <c r="J38" s="90"/>
      <c r="K38" s="90"/>
      <c r="L38" s="90"/>
      <c r="M38" s="90"/>
    </row>
    <row r="39" spans="1:23" x14ac:dyDescent="0.25">
      <c r="B39" s="4" t="s">
        <v>207</v>
      </c>
      <c r="C39" s="3">
        <f>IF($C$19&lt;&gt;0,$C$19*(10^(-3)*C37),$C$20*((10^-3)*(C37)))</f>
        <v>0</v>
      </c>
      <c r="D39" s="3">
        <f>IF($C$19&lt;&gt;0,$C$19*(10^(-3)*D37),$C$20*((10^-3)*(D37)))</f>
        <v>0</v>
      </c>
      <c r="E39" s="3">
        <f>IF($C$19&lt;&gt;0,$C$19*(10^(-3)*E37),$C$20*((10^-3)*(E37)))</f>
        <v>0</v>
      </c>
      <c r="F39" s="3">
        <f>IF($C$19&lt;&gt;0,$C$19*(10^(-3)*F37),$C$20*((10^-3)*(F37)))</f>
        <v>0</v>
      </c>
      <c r="I39" s="3" t="s">
        <v>210</v>
      </c>
      <c r="J39" s="8">
        <f>J37*$C$15</f>
        <v>0</v>
      </c>
      <c r="K39" s="8">
        <f>K37*$C$15</f>
        <v>0</v>
      </c>
      <c r="L39" s="8">
        <f>L37*$C$15</f>
        <v>0</v>
      </c>
      <c r="M39" s="8">
        <f>M37*$C$15</f>
        <v>0</v>
      </c>
    </row>
    <row r="40" spans="1:23" x14ac:dyDescent="0.25">
      <c r="B40" s="3" t="s">
        <v>208</v>
      </c>
      <c r="C40" s="8">
        <f>C39*$C$14</f>
        <v>0</v>
      </c>
      <c r="D40" s="8">
        <f>D39*$C$14</f>
        <v>0</v>
      </c>
      <c r="E40" s="8">
        <f>E39*$C$14</f>
        <v>0</v>
      </c>
      <c r="F40" s="8">
        <f>F39*$C$14</f>
        <v>0</v>
      </c>
      <c r="P40" s="220" t="s">
        <v>255</v>
      </c>
      <c r="Q40" s="222"/>
      <c r="S40" s="220" t="s">
        <v>255</v>
      </c>
      <c r="T40" s="222"/>
    </row>
    <row r="41" spans="1:23" x14ac:dyDescent="0.25">
      <c r="P41" s="3" t="s">
        <v>353</v>
      </c>
      <c r="Q41" s="3">
        <f>IF(Inputs!D5=5,IF(C14&lt;&gt;0,INDEX(Areas!C37:F37,MATCH(C13,Areas!C30:F30,0)),FALSE),Inputs!D47)</f>
        <v>0</v>
      </c>
      <c r="S41" s="3" t="s">
        <v>353</v>
      </c>
      <c r="T41" s="3">
        <f>IF(Inputs!D5=5,IF(C14&lt;&gt;0,INDEX(Areas!C51:F51,MATCH(C13,Areas!C30:F30,0)),FALSE),210)</f>
        <v>210</v>
      </c>
    </row>
    <row r="42" spans="1:23" x14ac:dyDescent="0.25">
      <c r="P42" s="3" t="s">
        <v>354</v>
      </c>
      <c r="Q42" s="3">
        <f>IF(Inputs!D5=5,IF(C15&lt;&gt;0,INDEX(Areas!J36:M36,MATCH(C13,Areas!C30:F30,0)),FALSE),Inputs!D47)</f>
        <v>0</v>
      </c>
      <c r="S42" s="3" t="s">
        <v>354</v>
      </c>
      <c r="T42" s="3">
        <f>IF(Inputs!D5=5,IF(C15&lt;&gt;0,INDEX(Areas!J52:M52,MATCH(C13,Areas!C30:F30,0)),FALSE),210)</f>
        <v>210</v>
      </c>
    </row>
    <row r="46" spans="1:23" x14ac:dyDescent="0.25">
      <c r="B46" s="250" t="s">
        <v>358</v>
      </c>
      <c r="C46" s="251"/>
      <c r="D46" s="251"/>
      <c r="E46" s="251"/>
      <c r="F46" s="251"/>
      <c r="G46" s="251"/>
      <c r="H46" s="251"/>
      <c r="I46" s="251"/>
      <c r="J46" s="251"/>
      <c r="K46" s="251"/>
      <c r="L46" s="251"/>
      <c r="M46" s="252"/>
    </row>
    <row r="47" spans="1:23" ht="16.899999999999999" customHeight="1" x14ac:dyDescent="0.25">
      <c r="B47" s="3" t="s">
        <v>203</v>
      </c>
      <c r="C47" s="46">
        <v>0.3</v>
      </c>
      <c r="D47" s="46">
        <v>0.25</v>
      </c>
      <c r="E47" s="46">
        <v>0.22500000000000001</v>
      </c>
      <c r="F47" s="46">
        <v>0.2</v>
      </c>
      <c r="I47" s="3" t="s">
        <v>203</v>
      </c>
      <c r="J47" s="46">
        <v>0.3</v>
      </c>
      <c r="K47" s="46">
        <v>0.25</v>
      </c>
      <c r="L47" s="46">
        <v>0.22500000000000001</v>
      </c>
      <c r="M47" s="46">
        <v>0.2</v>
      </c>
    </row>
    <row r="48" spans="1:23" ht="22.15" customHeight="1" x14ac:dyDescent="0.25">
      <c r="A48" s="126" t="s">
        <v>209</v>
      </c>
      <c r="B48" s="3" t="s">
        <v>205</v>
      </c>
      <c r="C48" s="3">
        <f>90-C17</f>
        <v>90</v>
      </c>
      <c r="D48" s="3">
        <v>120</v>
      </c>
      <c r="E48" s="3">
        <v>140</v>
      </c>
      <c r="F48" s="3">
        <v>150</v>
      </c>
      <c r="I48" s="223" t="s">
        <v>213</v>
      </c>
      <c r="J48" s="223"/>
      <c r="K48" s="223"/>
      <c r="L48" s="223"/>
      <c r="M48" s="223"/>
    </row>
    <row r="49" spans="1:23" ht="30" x14ac:dyDescent="0.25">
      <c r="A49" s="3" t="s">
        <v>212</v>
      </c>
      <c r="B49" s="3" t="s">
        <v>205</v>
      </c>
      <c r="C49" s="55">
        <v>40</v>
      </c>
      <c r="D49" s="55">
        <v>60</v>
      </c>
      <c r="E49" s="55">
        <v>80</v>
      </c>
      <c r="F49" s="55">
        <v>100</v>
      </c>
      <c r="H49" s="126" t="s">
        <v>209</v>
      </c>
      <c r="I49" s="3" t="s">
        <v>211</v>
      </c>
      <c r="J49" s="3">
        <v>125</v>
      </c>
      <c r="K49" s="3">
        <v>160</v>
      </c>
      <c r="L49" s="3">
        <v>190</v>
      </c>
      <c r="M49" s="3">
        <v>220</v>
      </c>
    </row>
    <row r="50" spans="1:23" x14ac:dyDescent="0.25">
      <c r="B50" s="3"/>
      <c r="C50" s="3"/>
      <c r="D50" s="3"/>
      <c r="E50" s="3"/>
      <c r="F50" s="3"/>
      <c r="H50" s="3" t="s">
        <v>212</v>
      </c>
      <c r="I50" s="3" t="s">
        <v>211</v>
      </c>
      <c r="J50" s="55">
        <v>45</v>
      </c>
      <c r="K50" s="55">
        <v>50</v>
      </c>
      <c r="L50" s="55">
        <v>60</v>
      </c>
      <c r="M50" s="55">
        <v>90</v>
      </c>
    </row>
    <row r="51" spans="1:23" x14ac:dyDescent="0.25">
      <c r="A51" s="1"/>
      <c r="B51" s="3" t="s">
        <v>206</v>
      </c>
      <c r="C51" s="3" t="b">
        <f xml:space="preserve"> IF($C$16=1,C48,IF($C$16=2,C49,IF($C$16=3,C50)))</f>
        <v>0</v>
      </c>
      <c r="D51" s="3" t="b">
        <f xml:space="preserve"> IF($C$16=1,D48,IF($C$16=2,D49,IF($C$16=3,D50)))</f>
        <v>0</v>
      </c>
      <c r="E51" s="3" t="b">
        <f xml:space="preserve"> IF($C$16=1,E48,IF($C$16=2,E49,IF($C$16=3,E50)))</f>
        <v>0</v>
      </c>
      <c r="F51" s="3" t="b">
        <f xml:space="preserve"> IF($C$16=1,F48,IF($C$16=2,F49,IF($C$16=3,F50)))</f>
        <v>0</v>
      </c>
      <c r="I51" s="3"/>
      <c r="J51" s="3"/>
      <c r="K51" s="3"/>
      <c r="L51" s="3"/>
      <c r="M51" s="3"/>
    </row>
    <row r="52" spans="1:23" x14ac:dyDescent="0.25">
      <c r="B52" s="3"/>
      <c r="C52" s="24"/>
      <c r="D52" s="24"/>
      <c r="E52" s="24"/>
      <c r="F52" s="24"/>
      <c r="I52" s="3" t="s">
        <v>206</v>
      </c>
      <c r="J52" s="3">
        <f xml:space="preserve"> IF($C$16=1,J49,IF($C$16=2,J50,0))</f>
        <v>0</v>
      </c>
      <c r="K52" s="3">
        <f xml:space="preserve"> IF($C$16=1,K49,IF($C$16=2,K50,0))</f>
        <v>0</v>
      </c>
      <c r="L52" s="3">
        <f xml:space="preserve"> IF($C$16=1,L49,IF($C$16=2,L50,0))</f>
        <v>0</v>
      </c>
      <c r="M52" s="3">
        <f xml:space="preserve"> IF($C$16=1,M49,IF($C$16=2,M50,0))</f>
        <v>0</v>
      </c>
    </row>
    <row r="53" spans="1:23" x14ac:dyDescent="0.25">
      <c r="B53" s="4" t="s">
        <v>207</v>
      </c>
      <c r="C53" s="3">
        <f>IF($C$19&lt;&gt;0,$C$19*(10^(-3)*C51),$C$20*((10^-3)*(C51)))</f>
        <v>0</v>
      </c>
      <c r="D53" s="3">
        <f>IF($C$19&lt;&gt;0,$C$19*(10^(-3)*D51),$C$20*((10^-3)*(D51)))</f>
        <v>0</v>
      </c>
      <c r="E53" s="3">
        <f>IF($C$19&lt;&gt;0,$C$19*(10^(-3)*E51),$C$20*((10^-3)*(E51)))</f>
        <v>0</v>
      </c>
      <c r="F53" s="3">
        <f>IF($C$19&lt;&gt;0,$C$19*(10^(-3)*F51),$C$20*((10^-3)*(F51)))</f>
        <v>0</v>
      </c>
      <c r="I53" s="4" t="s">
        <v>262</v>
      </c>
      <c r="J53" s="3">
        <f>IF($C$19&lt;&gt;0,$C$19*((10^-3)*J52),$C$21*((10^-3)*(J52)))</f>
        <v>0</v>
      </c>
      <c r="K53" s="3">
        <f>IF($C$19&lt;&gt;0,$C$19*((10^-3)*K52),$C$21*((10^-3)*(K52)))</f>
        <v>0</v>
      </c>
      <c r="L53" s="3">
        <f>IF($C$19&lt;&gt;0,$C$19*((10^-3)*L52),$C$21*((10^-3)*(L52)))</f>
        <v>0</v>
      </c>
      <c r="M53" s="3">
        <f>IF($C$19&lt;&gt;0,$C$19*((10^-3)*M52),$C$21*((10^-3)*(M52)))</f>
        <v>0</v>
      </c>
    </row>
    <row r="54" spans="1:23" x14ac:dyDescent="0.25">
      <c r="B54" s="3" t="s">
        <v>208</v>
      </c>
      <c r="C54" s="8">
        <f>C53*$C$14</f>
        <v>0</v>
      </c>
      <c r="D54" s="8">
        <f>D53*$C$14</f>
        <v>0</v>
      </c>
      <c r="E54" s="8">
        <f>E53*$C$14</f>
        <v>0</v>
      </c>
      <c r="F54" s="8">
        <f>F53*$C$14</f>
        <v>0</v>
      </c>
      <c r="I54" s="90"/>
      <c r="J54" s="90"/>
      <c r="K54" s="90"/>
      <c r="L54" s="90"/>
      <c r="M54" s="90"/>
    </row>
    <row r="55" spans="1:23" x14ac:dyDescent="0.25">
      <c r="I55" s="3" t="s">
        <v>210</v>
      </c>
      <c r="J55" s="8">
        <f>J53*$C$15</f>
        <v>0</v>
      </c>
      <c r="K55" s="8">
        <f>K53*$C$15</f>
        <v>0</v>
      </c>
      <c r="L55" s="8">
        <f>L53*$C$15</f>
        <v>0</v>
      </c>
      <c r="M55" s="8">
        <f>M53*$C$15</f>
        <v>0</v>
      </c>
    </row>
    <row r="62" spans="1:23" x14ac:dyDescent="0.25">
      <c r="O62" s="19"/>
      <c r="R62" s="19"/>
      <c r="U62" s="19"/>
      <c r="V62" s="19"/>
      <c r="W62" s="19"/>
    </row>
    <row r="63" spans="1:23" x14ac:dyDescent="0.25">
      <c r="B63" s="255" t="s">
        <v>217</v>
      </c>
      <c r="C63" s="255"/>
      <c r="D63" s="255"/>
      <c r="E63" s="255"/>
      <c r="F63" s="255"/>
      <c r="G63" s="255"/>
      <c r="H63" s="255"/>
      <c r="I63" s="255"/>
      <c r="J63" s="255"/>
      <c r="K63" s="255"/>
      <c r="L63" s="255"/>
      <c r="M63" s="255"/>
      <c r="N63" s="255"/>
      <c r="O63" s="19"/>
      <c r="P63" s="19"/>
      <c r="Q63" s="19"/>
      <c r="R63" s="19"/>
      <c r="S63" s="19"/>
      <c r="T63" s="19"/>
      <c r="U63" s="19"/>
      <c r="V63" s="19"/>
      <c r="W63" s="19"/>
    </row>
    <row r="64" spans="1:23" x14ac:dyDescent="0.25">
      <c r="P64" s="19"/>
      <c r="Q64" s="19"/>
      <c r="S64" s="19"/>
      <c r="T64" s="19"/>
    </row>
    <row r="65" spans="2:23" x14ac:dyDescent="0.25">
      <c r="O65" s="19"/>
      <c r="R65" s="19"/>
      <c r="U65" s="19"/>
      <c r="V65" s="19"/>
      <c r="W65" s="19"/>
    </row>
    <row r="66" spans="2:23" x14ac:dyDescent="0.25">
      <c r="B66" s="3" t="s">
        <v>214</v>
      </c>
      <c r="C66" s="21">
        <f>Inputs!F11</f>
        <v>0</v>
      </c>
      <c r="O66" s="19"/>
      <c r="P66" s="19"/>
      <c r="Q66" s="19"/>
      <c r="R66" s="19"/>
      <c r="S66" s="19"/>
      <c r="T66" s="19"/>
      <c r="U66" s="19"/>
      <c r="V66" s="19"/>
      <c r="W66" s="19"/>
    </row>
    <row r="67" spans="2:23" x14ac:dyDescent="0.25">
      <c r="P67" s="19"/>
      <c r="Q67" s="19"/>
      <c r="R67" s="19"/>
      <c r="S67" s="19"/>
      <c r="T67" s="19"/>
      <c r="U67" s="19"/>
      <c r="V67" s="19"/>
      <c r="W67" s="19"/>
    </row>
    <row r="68" spans="2:23" x14ac:dyDescent="0.25">
      <c r="B68" s="129" t="s">
        <v>75</v>
      </c>
      <c r="C68" s="50">
        <f>Inputs!L4</f>
        <v>0</v>
      </c>
      <c r="P68" s="19"/>
      <c r="Q68" s="19"/>
      <c r="R68" s="19"/>
      <c r="S68" s="19"/>
      <c r="T68" s="19"/>
      <c r="U68" s="19"/>
      <c r="V68" s="19"/>
      <c r="W68" s="19"/>
    </row>
    <row r="69" spans="2:23" x14ac:dyDescent="0.25">
      <c r="B69" s="131" t="s">
        <v>264</v>
      </c>
      <c r="C69" s="128">
        <f>IF(OR(Inputs!F21=1,Inputs!F21=3),Inputs!K21,0)</f>
        <v>0</v>
      </c>
      <c r="O69" s="19"/>
      <c r="P69" s="19"/>
      <c r="Q69" s="19"/>
      <c r="R69" s="19"/>
      <c r="S69" s="19"/>
      <c r="T69" s="19"/>
      <c r="U69" s="19"/>
      <c r="V69" s="19"/>
      <c r="W69" s="19"/>
    </row>
    <row r="70" spans="2:23" x14ac:dyDescent="0.25">
      <c r="B70" s="131" t="s">
        <v>355</v>
      </c>
      <c r="C70" s="128">
        <f>IF(OR(Inputs!F21=2,Inputs!F21=3,),Inputs!K20,0)</f>
        <v>0</v>
      </c>
      <c r="E70" s="220" t="s">
        <v>222</v>
      </c>
      <c r="F70" s="221"/>
      <c r="G70" s="222"/>
      <c r="H70" s="51">
        <v>1</v>
      </c>
      <c r="O70" s="19"/>
      <c r="P70" s="19"/>
      <c r="Q70" s="19"/>
      <c r="R70" s="19"/>
      <c r="S70" s="19"/>
      <c r="T70" s="19"/>
      <c r="U70" s="19"/>
      <c r="V70" s="19"/>
      <c r="W70" s="19"/>
    </row>
    <row r="71" spans="2:23" x14ac:dyDescent="0.25">
      <c r="B71" s="130" t="s">
        <v>218</v>
      </c>
      <c r="C71" s="50">
        <f>Inputs!D25</f>
        <v>0</v>
      </c>
      <c r="O71" s="19"/>
      <c r="P71" s="19"/>
      <c r="Q71" s="19"/>
      <c r="R71" s="19"/>
      <c r="S71" s="19"/>
      <c r="T71" s="19"/>
      <c r="U71" s="19"/>
      <c r="V71" s="19"/>
      <c r="W71" s="19"/>
    </row>
    <row r="72" spans="2:23" x14ac:dyDescent="0.25">
      <c r="B72" s="3" t="s">
        <v>219</v>
      </c>
      <c r="C72" s="50">
        <f>Inputs!F11</f>
        <v>0</v>
      </c>
      <c r="O72" s="19"/>
      <c r="P72" s="19"/>
      <c r="Q72" s="19"/>
      <c r="R72" s="19"/>
      <c r="S72" s="19"/>
      <c r="T72" s="19"/>
      <c r="U72" s="19"/>
      <c r="V72" s="19"/>
      <c r="W72" s="19"/>
    </row>
    <row r="73" spans="2:23" x14ac:dyDescent="0.25">
      <c r="B73" s="4" t="s">
        <v>356</v>
      </c>
      <c r="C73" s="93">
        <f>IF(C74&lt;&gt;0,C74,C75)</f>
        <v>160</v>
      </c>
      <c r="O73" s="19"/>
      <c r="P73" s="19"/>
      <c r="Q73" s="19"/>
      <c r="R73" s="19"/>
      <c r="S73" s="19"/>
      <c r="T73" s="19"/>
      <c r="U73" s="19"/>
      <c r="V73" s="19"/>
      <c r="W73" s="19"/>
    </row>
    <row r="74" spans="2:23" x14ac:dyDescent="0.25">
      <c r="B74" s="4" t="s">
        <v>220</v>
      </c>
      <c r="C74" s="50">
        <f>IF(Inputs!D48&lt;&gt;0,Inputs!D48/((10^-3)*Inputs!D49),0)</f>
        <v>0</v>
      </c>
      <c r="O74" s="19"/>
      <c r="P74" s="19"/>
      <c r="Q74" s="19"/>
      <c r="R74" s="19"/>
      <c r="S74" s="19"/>
      <c r="T74" s="19"/>
      <c r="U74" s="19"/>
      <c r="V74" s="19"/>
      <c r="W74" s="19"/>
    </row>
    <row r="75" spans="2:23" x14ac:dyDescent="0.25">
      <c r="B75" s="4" t="s">
        <v>221</v>
      </c>
      <c r="C75" s="195">
        <v>160</v>
      </c>
      <c r="O75" s="19"/>
      <c r="P75" s="19"/>
      <c r="Q75" s="19"/>
      <c r="R75" s="19"/>
      <c r="S75" s="19"/>
      <c r="T75" s="19"/>
      <c r="U75" s="19"/>
      <c r="V75" s="19"/>
      <c r="W75" s="19"/>
    </row>
    <row r="76" spans="2:23" x14ac:dyDescent="0.25">
      <c r="B76" s="87"/>
      <c r="C76" s="88"/>
      <c r="O76" s="19"/>
      <c r="P76" s="19"/>
      <c r="Q76" s="19"/>
      <c r="R76" s="19"/>
      <c r="S76" s="19"/>
      <c r="T76" s="19"/>
      <c r="U76" s="19"/>
      <c r="V76" s="19"/>
      <c r="W76" s="19"/>
    </row>
    <row r="77" spans="2:23" x14ac:dyDescent="0.25">
      <c r="B77" s="87"/>
      <c r="C77" s="88"/>
      <c r="O77" s="19"/>
      <c r="P77" s="19"/>
      <c r="Q77" s="19"/>
      <c r="R77" s="19"/>
      <c r="S77" s="19"/>
      <c r="T77" s="19"/>
      <c r="U77" s="19"/>
      <c r="V77" s="19"/>
      <c r="W77" s="19"/>
    </row>
    <row r="78" spans="2:23" x14ac:dyDescent="0.25">
      <c r="B78" s="1"/>
      <c r="O78" s="19"/>
      <c r="P78" s="19"/>
      <c r="Q78" s="19"/>
      <c r="R78" s="19"/>
      <c r="S78" s="19"/>
      <c r="T78" s="19"/>
      <c r="U78" s="19"/>
      <c r="V78" s="19"/>
      <c r="W78" s="19"/>
    </row>
    <row r="79" spans="2:23" x14ac:dyDescent="0.25">
      <c r="B79" s="250" t="s">
        <v>200</v>
      </c>
      <c r="C79" s="251"/>
      <c r="D79" s="251"/>
      <c r="E79" s="251"/>
      <c r="F79" s="251"/>
      <c r="G79" s="251"/>
      <c r="H79" s="251"/>
      <c r="I79" s="251"/>
      <c r="J79" s="251"/>
      <c r="K79" s="251"/>
      <c r="L79" s="251"/>
      <c r="M79" s="252"/>
      <c r="O79" s="19"/>
      <c r="P79" s="241" t="s">
        <v>242</v>
      </c>
      <c r="Q79" s="241"/>
      <c r="R79" s="241"/>
      <c r="S79" s="241"/>
      <c r="T79" s="241"/>
      <c r="U79" s="19"/>
      <c r="V79" s="19"/>
      <c r="W79" s="19"/>
    </row>
    <row r="80" spans="2:23" x14ac:dyDescent="0.25">
      <c r="B80" s="253" t="s">
        <v>201</v>
      </c>
      <c r="C80" s="253"/>
      <c r="D80" s="253"/>
      <c r="E80" s="253"/>
      <c r="F80" s="253"/>
      <c r="I80" s="253" t="s">
        <v>201</v>
      </c>
      <c r="J80" s="253"/>
      <c r="K80" s="253"/>
      <c r="L80" s="253"/>
      <c r="M80" s="253"/>
      <c r="O80" s="19"/>
      <c r="P80" s="242" t="s">
        <v>48</v>
      </c>
      <c r="Q80" s="243"/>
      <c r="S80" s="242" t="s">
        <v>252</v>
      </c>
      <c r="T80" s="243"/>
      <c r="U80" s="19"/>
      <c r="V80" s="19"/>
      <c r="W80" s="19"/>
    </row>
    <row r="81" spans="1:23" ht="30" x14ac:dyDescent="0.25">
      <c r="B81" s="254" t="s">
        <v>357</v>
      </c>
      <c r="C81" s="254"/>
      <c r="D81" s="254"/>
      <c r="E81" s="254"/>
      <c r="F81" s="254"/>
      <c r="I81" s="254" t="s">
        <v>202</v>
      </c>
      <c r="J81" s="254"/>
      <c r="K81" s="254"/>
      <c r="L81" s="254"/>
      <c r="M81" s="254"/>
      <c r="O81" s="19"/>
      <c r="P81" s="27" t="s">
        <v>249</v>
      </c>
      <c r="Q81" s="30">
        <f>IF(Inputs!D5=5,IF(C69&lt;&gt;0,INDEX(Areas!C92:F92,MATCH(C68,Areas!C82:F82,0)),FALSE),Inputs!D48*Areas!C69)</f>
        <v>0</v>
      </c>
      <c r="S81" s="27" t="s">
        <v>249</v>
      </c>
      <c r="T81" s="28" t="e">
        <f>IF(Inputs!D5=5,IF(C69&lt;&gt;0,INDEX(Areas!C107:F107,MATCH(C68,Areas!C82:F82,0)),FALSE),Inputs!D48/(Inputs!D49*10^-3)*210*10^-3*C69)</f>
        <v>#DIV/0!</v>
      </c>
      <c r="U81" s="19"/>
      <c r="V81" s="19"/>
      <c r="W81" s="19"/>
    </row>
    <row r="82" spans="1:23" ht="30" x14ac:dyDescent="0.25">
      <c r="B82" s="127" t="s">
        <v>75</v>
      </c>
      <c r="C82" s="3" t="s">
        <v>4</v>
      </c>
      <c r="D82" s="3" t="s">
        <v>5</v>
      </c>
      <c r="E82" s="3" t="s">
        <v>6</v>
      </c>
      <c r="F82" s="3" t="s">
        <v>7</v>
      </c>
      <c r="I82" s="127" t="s">
        <v>75</v>
      </c>
      <c r="J82" s="3" t="s">
        <v>4</v>
      </c>
      <c r="K82" s="3" t="s">
        <v>5</v>
      </c>
      <c r="L82" s="3" t="s">
        <v>6</v>
      </c>
      <c r="M82" s="3" t="s">
        <v>7</v>
      </c>
      <c r="O82" s="19"/>
      <c r="P82" s="27" t="s">
        <v>247</v>
      </c>
      <c r="Q82" s="31">
        <f>IF(Inputs!D5=5,IF(AND(C70&lt;&gt;0,H70=1),INDEX(Areas!J91:M91,MATCH(C68,Areas!J82:M82,0)),FALSE),Inputs!D48*Areas!C70)</f>
        <v>0</v>
      </c>
      <c r="S82" s="27" t="s">
        <v>247</v>
      </c>
      <c r="T82" s="24" t="e">
        <f>IF(Inputs!D5=5,IF(AND(C70&lt;&gt;0,H70=1),INDEX(Areas!J112:M112,MATCH(C68,Areas!J82:M82,0)),FALSE),Inputs!D48/(Inputs!D49*10^-3)*210*10^-3*Areas!C70)</f>
        <v>#DIV/0!</v>
      </c>
      <c r="U82" s="19"/>
      <c r="V82" s="19"/>
      <c r="W82" s="19"/>
    </row>
    <row r="83" spans="1:23" x14ac:dyDescent="0.25">
      <c r="B83" s="3" t="s">
        <v>265</v>
      </c>
      <c r="C83" s="3">
        <v>0.5</v>
      </c>
      <c r="D83" s="3">
        <v>0.45</v>
      </c>
      <c r="E83" s="3">
        <v>0.4</v>
      </c>
      <c r="F83" s="3">
        <v>0.35</v>
      </c>
      <c r="I83" s="3" t="s">
        <v>203</v>
      </c>
      <c r="J83" s="26">
        <v>0.4</v>
      </c>
      <c r="K83" s="26">
        <v>0.35</v>
      </c>
      <c r="L83" s="26">
        <v>0.3</v>
      </c>
      <c r="M83" s="26">
        <v>0.25</v>
      </c>
      <c r="O83" s="19"/>
      <c r="P83" s="119" t="s">
        <v>245</v>
      </c>
      <c r="Q83" s="31">
        <f>Inputs!K6*25</f>
        <v>0</v>
      </c>
      <c r="S83" s="119" t="s">
        <v>245</v>
      </c>
      <c r="T83" s="31">
        <f>Inputs!K6*40</f>
        <v>0</v>
      </c>
      <c r="U83" s="19"/>
      <c r="V83" s="19"/>
      <c r="W83" s="19"/>
    </row>
    <row r="84" spans="1:23" ht="30" x14ac:dyDescent="0.25">
      <c r="B84" s="3"/>
      <c r="C84" s="3"/>
      <c r="D84" s="3"/>
      <c r="E84" s="3"/>
      <c r="F84" s="3"/>
      <c r="I84" s="223" t="s">
        <v>213</v>
      </c>
      <c r="J84" s="223"/>
      <c r="K84" s="223"/>
      <c r="L84" s="223"/>
      <c r="M84" s="223"/>
      <c r="O84" s="19"/>
      <c r="P84" s="95" t="s">
        <v>250</v>
      </c>
      <c r="Q84" s="96">
        <f>0</f>
        <v>0</v>
      </c>
      <c r="S84" s="95" t="s">
        <v>250</v>
      </c>
      <c r="T84" s="30">
        <f>D120</f>
        <v>0</v>
      </c>
      <c r="U84" s="3" t="s">
        <v>421</v>
      </c>
      <c r="V84" s="23">
        <f>25*C70</f>
        <v>0</v>
      </c>
      <c r="W84" s="19"/>
    </row>
    <row r="85" spans="1:23" ht="16.149999999999999" customHeight="1" x14ac:dyDescent="0.25">
      <c r="B85" s="3" t="s">
        <v>266</v>
      </c>
      <c r="C85" s="26">
        <v>0.4</v>
      </c>
      <c r="D85" s="26">
        <v>0.35</v>
      </c>
      <c r="E85" s="26">
        <v>0.3</v>
      </c>
      <c r="F85" s="26">
        <v>0.25</v>
      </c>
      <c r="H85" s="126" t="s">
        <v>209</v>
      </c>
      <c r="I85" s="3" t="s">
        <v>268</v>
      </c>
      <c r="J85" s="3">
        <v>80</v>
      </c>
      <c r="K85" s="3">
        <v>90</v>
      </c>
      <c r="L85" s="3">
        <v>110</v>
      </c>
      <c r="M85" s="3">
        <v>130</v>
      </c>
      <c r="O85" s="19"/>
      <c r="P85" s="256" t="s">
        <v>251</v>
      </c>
      <c r="Q85" s="258">
        <f>SUM(Q81:Q84)</f>
        <v>0</v>
      </c>
      <c r="S85" s="256" t="s">
        <v>253</v>
      </c>
      <c r="T85" s="247">
        <f>IFERROR(IF(T82&lt;&gt;0,SUM(T81:T84)+V84,SUM(T81:T84)),0)</f>
        <v>0</v>
      </c>
      <c r="U85" s="19"/>
      <c r="V85" s="19"/>
      <c r="W85" s="19"/>
    </row>
    <row r="86" spans="1:23" ht="30" x14ac:dyDescent="0.25">
      <c r="A86" s="126" t="s">
        <v>209</v>
      </c>
      <c r="B86" s="3" t="s">
        <v>205</v>
      </c>
      <c r="C86" s="3">
        <f>60-C71</f>
        <v>60</v>
      </c>
      <c r="D86" s="3">
        <f>70-C71</f>
        <v>70</v>
      </c>
      <c r="E86" s="3">
        <f>90-C71</f>
        <v>90</v>
      </c>
      <c r="F86" s="3">
        <f>100-C71</f>
        <v>100</v>
      </c>
      <c r="H86" s="3" t="s">
        <v>212</v>
      </c>
      <c r="I86" s="3" t="s">
        <v>268</v>
      </c>
      <c r="J86" s="55">
        <f>40-J70</f>
        <v>40</v>
      </c>
      <c r="K86" s="55">
        <f>50-J70</f>
        <v>50</v>
      </c>
      <c r="L86" s="55">
        <f>70-J70</f>
        <v>70</v>
      </c>
      <c r="M86" s="55">
        <f>90-J70</f>
        <v>90</v>
      </c>
      <c r="O86" s="19"/>
      <c r="P86" s="257"/>
      <c r="Q86" s="258"/>
      <c r="R86" s="19"/>
      <c r="S86" s="257"/>
      <c r="T86" s="248"/>
      <c r="U86" s="19"/>
      <c r="V86" s="19"/>
      <c r="W86" s="19"/>
    </row>
    <row r="87" spans="1:23" x14ac:dyDescent="0.25">
      <c r="A87" s="3" t="s">
        <v>212</v>
      </c>
      <c r="B87" s="3" t="s">
        <v>205</v>
      </c>
      <c r="C87" s="3">
        <f>40-C71</f>
        <v>40</v>
      </c>
      <c r="D87" s="3">
        <f>50-C71</f>
        <v>50</v>
      </c>
      <c r="E87" s="3">
        <f>70-C71</f>
        <v>70</v>
      </c>
      <c r="F87" s="3">
        <f>90-C71</f>
        <v>90</v>
      </c>
      <c r="I87" s="3"/>
      <c r="J87" s="3"/>
      <c r="K87" s="3"/>
      <c r="L87" s="3"/>
      <c r="M87" s="3"/>
      <c r="O87" s="19"/>
      <c r="P87" s="113"/>
      <c r="Q87" s="114"/>
      <c r="R87" s="19"/>
      <c r="S87" s="113"/>
      <c r="T87" s="114"/>
      <c r="U87" s="19"/>
      <c r="V87" s="19"/>
      <c r="W87" s="19"/>
    </row>
    <row r="88" spans="1:23" x14ac:dyDescent="0.25">
      <c r="B88" s="3"/>
      <c r="C88" s="3"/>
      <c r="D88" s="3"/>
      <c r="E88" s="3"/>
      <c r="F88" s="3"/>
      <c r="I88" s="3" t="s">
        <v>257</v>
      </c>
      <c r="J88" s="3">
        <f xml:space="preserve"> IF($C$72=1,J85,IF($C$72=2,J86,0))</f>
        <v>0</v>
      </c>
      <c r="K88" s="3">
        <f xml:space="preserve"> IF($C$72=1,K85,IF($C$72=2,K86,0))</f>
        <v>0</v>
      </c>
      <c r="L88" s="3">
        <f xml:space="preserve"> IF($C$72=1,L85,IF($C$72=2,L86,0))</f>
        <v>0</v>
      </c>
      <c r="M88" s="3">
        <f xml:space="preserve"> IF($C$72=1,M85,IF($C$72=2,M86,0))</f>
        <v>0</v>
      </c>
      <c r="O88" s="19"/>
      <c r="P88" s="220" t="s">
        <v>255</v>
      </c>
      <c r="Q88" s="222"/>
      <c r="R88" s="19"/>
      <c r="S88" s="220" t="s">
        <v>255</v>
      </c>
      <c r="T88" s="222"/>
      <c r="U88" s="19"/>
      <c r="V88" s="19"/>
      <c r="W88" s="19"/>
    </row>
    <row r="89" spans="1:23" x14ac:dyDescent="0.25">
      <c r="B89" s="3" t="s">
        <v>257</v>
      </c>
      <c r="C89" s="3" t="b">
        <f xml:space="preserve"> IF($C$72=1,C86,IF($C$72=2,C87))</f>
        <v>0</v>
      </c>
      <c r="D89" s="3" t="b">
        <f xml:space="preserve"> IF($C$72=1,D86,IF($C$72=2,D87))</f>
        <v>0</v>
      </c>
      <c r="E89" s="3" t="b">
        <f xml:space="preserve"> IF($C$72=1,E86,IF($C$72=2,E87))</f>
        <v>0</v>
      </c>
      <c r="F89" s="3" t="b">
        <f xml:space="preserve"> IF($C$72=1,F86,IF($C$72=2,F87))</f>
        <v>0</v>
      </c>
      <c r="I89" s="4" t="s">
        <v>262</v>
      </c>
      <c r="J89" s="107">
        <f>$C$73*J88*10^-3</f>
        <v>0</v>
      </c>
      <c r="K89" s="107">
        <f>$C$73*K88*10^-3</f>
        <v>0</v>
      </c>
      <c r="L89" s="107">
        <f>$C$73*L88*10^-3</f>
        <v>0</v>
      </c>
      <c r="M89" s="107">
        <f>$C$73*M88*10^-3</f>
        <v>0</v>
      </c>
      <c r="P89" s="119" t="s">
        <v>256</v>
      </c>
      <c r="Q89" s="112">
        <f>IF(Inputs!D5=5,IF(C69&lt;&gt;0,INDEX(Areas!C89:F89,MATCH(C68,Areas!C82:F82,0)),FALSE),Inputs!D49)</f>
        <v>0</v>
      </c>
      <c r="S89" s="119" t="s">
        <v>256</v>
      </c>
      <c r="T89" s="112">
        <f>IF(Inputs!D5=5,IF(C69&lt;&gt;0,INDEX(Areas!C105:F105,MATCH(C68,Areas!C82:F82,0)),FALSE),210)</f>
        <v>210</v>
      </c>
    </row>
    <row r="90" spans="1:23" x14ac:dyDescent="0.25">
      <c r="B90" s="3"/>
      <c r="C90" s="3"/>
      <c r="D90" s="3"/>
      <c r="E90" s="3"/>
      <c r="F90" s="3"/>
      <c r="I90" s="90"/>
      <c r="J90" s="90"/>
      <c r="K90" s="90"/>
      <c r="L90" s="90"/>
      <c r="M90" s="90"/>
      <c r="P90" s="119" t="s">
        <v>258</v>
      </c>
      <c r="Q90" s="112">
        <f>IF(Inputs!D5=5,IF(AND(C70&lt;&gt;0,H70=1),INDEX(Areas!J88:M88,MATCH(C68,Areas!J82:M82,0)),FALSE),Inputs!D49)</f>
        <v>0</v>
      </c>
      <c r="S90" s="119" t="s">
        <v>258</v>
      </c>
      <c r="T90" s="112">
        <f>IF(Inputs!D5=5,IF(AND(C70&lt;&gt;0,H70=1),INDEX(Areas!J109:M109,MATCH(C68,Areas!J82:M82,0)),FALSE),210)</f>
        <v>210</v>
      </c>
    </row>
    <row r="91" spans="1:23" x14ac:dyDescent="0.25">
      <c r="B91" s="3" t="s">
        <v>223</v>
      </c>
      <c r="C91" s="107">
        <f>C89*$C$73*10^-3</f>
        <v>0</v>
      </c>
      <c r="D91" s="107">
        <f>D89*$C$73*10^-3</f>
        <v>0</v>
      </c>
      <c r="E91" s="107">
        <f>E89*$C$73*10^-3</f>
        <v>0</v>
      </c>
      <c r="F91" s="107">
        <f>F89*$C$73*10^-3</f>
        <v>0</v>
      </c>
      <c r="I91" s="3" t="s">
        <v>224</v>
      </c>
      <c r="J91" s="8">
        <f>J89*$C$70</f>
        <v>0</v>
      </c>
      <c r="K91" s="8">
        <f>K89*$C$70</f>
        <v>0</v>
      </c>
      <c r="L91" s="8">
        <f>L89*$C$70</f>
        <v>0</v>
      </c>
      <c r="M91" s="8">
        <f>M89*$C$70</f>
        <v>0</v>
      </c>
    </row>
    <row r="92" spans="1:23" x14ac:dyDescent="0.25">
      <c r="B92" s="3" t="s">
        <v>208</v>
      </c>
      <c r="C92" s="8">
        <f>C91*$C$69</f>
        <v>0</v>
      </c>
      <c r="D92" s="8">
        <f>D91*$C$69</f>
        <v>0</v>
      </c>
      <c r="E92" s="8">
        <f>E91*$C$69</f>
        <v>0</v>
      </c>
      <c r="F92" s="8">
        <f>F91*$C$69</f>
        <v>0</v>
      </c>
    </row>
    <row r="93" spans="1:23" x14ac:dyDescent="0.25">
      <c r="B93" s="3"/>
      <c r="C93" s="3"/>
      <c r="D93" s="3"/>
      <c r="E93" s="3"/>
      <c r="F93" s="3"/>
    </row>
    <row r="94" spans="1:23" x14ac:dyDescent="0.25">
      <c r="B94" s="1"/>
      <c r="C94" s="1"/>
      <c r="D94" s="1"/>
      <c r="E94" s="1"/>
      <c r="F94" s="1"/>
    </row>
    <row r="95" spans="1:23" x14ac:dyDescent="0.25">
      <c r="B95" s="1"/>
      <c r="C95" s="1"/>
      <c r="D95" s="1"/>
      <c r="E95" s="1"/>
      <c r="F95" s="1"/>
    </row>
    <row r="96" spans="1:23" x14ac:dyDescent="0.25">
      <c r="B96" s="1"/>
      <c r="C96" s="1"/>
      <c r="D96" s="1"/>
      <c r="E96" s="1"/>
      <c r="F96" s="1"/>
    </row>
    <row r="97" spans="1:13" x14ac:dyDescent="0.25">
      <c r="B97" s="1"/>
      <c r="C97" s="1"/>
      <c r="D97" s="1"/>
      <c r="E97" s="1"/>
      <c r="F97" s="1"/>
    </row>
    <row r="100" spans="1:13" x14ac:dyDescent="0.25">
      <c r="B100" s="250" t="s">
        <v>358</v>
      </c>
      <c r="C100" s="251"/>
      <c r="D100" s="251"/>
      <c r="E100" s="251"/>
      <c r="F100" s="251"/>
      <c r="G100" s="251"/>
      <c r="H100" s="251"/>
      <c r="I100" s="251"/>
      <c r="J100" s="251"/>
      <c r="K100" s="251"/>
      <c r="L100" s="251"/>
      <c r="M100" s="252"/>
    </row>
    <row r="101" spans="1:13" x14ac:dyDescent="0.25">
      <c r="B101" s="3" t="s">
        <v>267</v>
      </c>
      <c r="C101" s="47">
        <v>0.25</v>
      </c>
      <c r="D101" s="47">
        <v>0.22500000000000001</v>
      </c>
      <c r="E101" s="47">
        <v>0.2</v>
      </c>
      <c r="F101" s="47">
        <v>0.125</v>
      </c>
      <c r="I101" s="253" t="s">
        <v>201</v>
      </c>
      <c r="J101" s="253"/>
      <c r="K101" s="253"/>
      <c r="L101" s="253"/>
      <c r="M101" s="253"/>
    </row>
    <row r="102" spans="1:13" ht="15.6" customHeight="1" x14ac:dyDescent="0.25">
      <c r="A102" s="126" t="s">
        <v>209</v>
      </c>
      <c r="B102" s="3" t="s">
        <v>205</v>
      </c>
      <c r="C102" s="3">
        <f>100-C71</f>
        <v>100</v>
      </c>
      <c r="D102" s="3">
        <f>120-C71</f>
        <v>120</v>
      </c>
      <c r="E102" s="3">
        <f>140-C71</f>
        <v>140</v>
      </c>
      <c r="F102" s="3">
        <f>240-C71</f>
        <v>240</v>
      </c>
      <c r="I102" s="254" t="s">
        <v>202</v>
      </c>
      <c r="J102" s="254"/>
      <c r="K102" s="254"/>
      <c r="L102" s="254"/>
      <c r="M102" s="254"/>
    </row>
    <row r="103" spans="1:13" ht="15.6" customHeight="1" x14ac:dyDescent="0.25">
      <c r="A103" s="3" t="s">
        <v>212</v>
      </c>
      <c r="B103" s="3" t="s">
        <v>205</v>
      </c>
      <c r="C103" s="3">
        <f>90-C71</f>
        <v>90</v>
      </c>
      <c r="D103" s="3">
        <f>105-C71</f>
        <v>105</v>
      </c>
      <c r="E103" s="3">
        <f>120-C71</f>
        <v>120</v>
      </c>
      <c r="F103" s="3">
        <f>220-C71</f>
        <v>220</v>
      </c>
      <c r="I103" s="127" t="s">
        <v>75</v>
      </c>
      <c r="J103" s="3" t="s">
        <v>4</v>
      </c>
      <c r="K103" s="3" t="s">
        <v>5</v>
      </c>
      <c r="L103" s="3" t="s">
        <v>6</v>
      </c>
      <c r="M103" s="3" t="s">
        <v>7</v>
      </c>
    </row>
    <row r="104" spans="1:13" ht="15.6" customHeight="1" x14ac:dyDescent="0.25">
      <c r="B104" s="3"/>
      <c r="C104" s="3"/>
      <c r="D104" s="3"/>
      <c r="E104" s="3"/>
      <c r="F104" s="3"/>
      <c r="I104" s="3" t="s">
        <v>267</v>
      </c>
      <c r="J104" s="47">
        <v>0.25</v>
      </c>
      <c r="K104" s="47">
        <v>0.22500000000000001</v>
      </c>
      <c r="L104" s="47">
        <v>0.2</v>
      </c>
      <c r="M104" s="47">
        <v>0.125</v>
      </c>
    </row>
    <row r="105" spans="1:13" x14ac:dyDescent="0.25">
      <c r="B105" s="3" t="s">
        <v>206</v>
      </c>
      <c r="C105" s="3" t="b">
        <f xml:space="preserve"> IF($C$72=1,C102,IF($C$72=2,C103,IF($C$72=3,C104)))</f>
        <v>0</v>
      </c>
      <c r="D105" s="3" t="b">
        <f xml:space="preserve"> IF($C$72=1,D102,IF($C$72=2,D103,IF($C$72=3,D104)))</f>
        <v>0</v>
      </c>
      <c r="E105" s="3" t="b">
        <f xml:space="preserve"> IF($C$72=1,E102,IF($C$72=2,E103,IF($C$72=3,E104)))</f>
        <v>0</v>
      </c>
      <c r="F105" s="3" t="b">
        <f xml:space="preserve"> IF($C$72=1,F102,IF($C$72=2,F103,IF($C$72=3,F104)))</f>
        <v>0</v>
      </c>
      <c r="I105" s="223" t="s">
        <v>213</v>
      </c>
      <c r="J105" s="223"/>
      <c r="K105" s="223"/>
      <c r="L105" s="223"/>
      <c r="M105" s="223"/>
    </row>
    <row r="106" spans="1:13" ht="14.45" customHeight="1" x14ac:dyDescent="0.25">
      <c r="B106" s="3" t="s">
        <v>223</v>
      </c>
      <c r="C106" s="107">
        <f>C105*($C$73*10^-3)</f>
        <v>0</v>
      </c>
      <c r="D106" s="107">
        <f>D105*($C$73*10^-3)</f>
        <v>0</v>
      </c>
      <c r="E106" s="107">
        <f>E105*($C$73*10^-3)</f>
        <v>0</v>
      </c>
      <c r="F106" s="107">
        <f>F105*($C$73*10^-3)</f>
        <v>0</v>
      </c>
      <c r="H106" s="126" t="s">
        <v>259</v>
      </c>
      <c r="I106" s="3" t="s">
        <v>269</v>
      </c>
      <c r="J106" s="3">
        <v>130</v>
      </c>
      <c r="K106" s="3">
        <v>150</v>
      </c>
      <c r="L106" s="3">
        <v>170</v>
      </c>
      <c r="M106" s="3">
        <v>270</v>
      </c>
    </row>
    <row r="107" spans="1:13" x14ac:dyDescent="0.25">
      <c r="B107" s="3" t="s">
        <v>208</v>
      </c>
      <c r="C107" s="8">
        <f>C106*$C$69</f>
        <v>0</v>
      </c>
      <c r="D107" s="8">
        <f>D106*$C$69</f>
        <v>0</v>
      </c>
      <c r="E107" s="8">
        <f>E106*$C$69</f>
        <v>0</v>
      </c>
      <c r="F107" s="8">
        <f>F106*$C$69</f>
        <v>0</v>
      </c>
      <c r="H107" s="3" t="s">
        <v>212</v>
      </c>
      <c r="I107" s="3" t="s">
        <v>269</v>
      </c>
      <c r="J107" s="3">
        <v>90</v>
      </c>
      <c r="K107" s="3">
        <v>110</v>
      </c>
      <c r="L107" s="3">
        <v>120</v>
      </c>
      <c r="M107" s="3">
        <v>230</v>
      </c>
    </row>
    <row r="108" spans="1:13" x14ac:dyDescent="0.25">
      <c r="H108" s="1"/>
      <c r="I108" s="3"/>
      <c r="J108" s="3"/>
      <c r="K108" s="3"/>
      <c r="L108" s="3"/>
      <c r="M108" s="3"/>
    </row>
    <row r="109" spans="1:13" x14ac:dyDescent="0.25">
      <c r="I109" s="3" t="s">
        <v>206</v>
      </c>
      <c r="J109" s="3">
        <f xml:space="preserve"> IF($C$72=1,J106,IF($C$72=2,J107,0))</f>
        <v>0</v>
      </c>
      <c r="K109" s="3">
        <f xml:space="preserve"> IF($C$72=1,K106,IF($C$72=2,K107,0))</f>
        <v>0</v>
      </c>
      <c r="L109" s="3">
        <f xml:space="preserve"> IF($C$72=1,L106,IF($C$72=2,L107,0))</f>
        <v>0</v>
      </c>
      <c r="M109" s="3">
        <f xml:space="preserve"> IF($C$72=1,M106,IF($C$72=2,M107,0))</f>
        <v>0</v>
      </c>
    </row>
    <row r="110" spans="1:13" x14ac:dyDescent="0.25">
      <c r="I110" s="4" t="s">
        <v>262</v>
      </c>
      <c r="J110" s="107">
        <f>$C$73*J109*10^-3</f>
        <v>0</v>
      </c>
      <c r="K110" s="107">
        <f>$C$73*K109*10^-3</f>
        <v>0</v>
      </c>
      <c r="L110" s="107">
        <f>$C$73*L109*10^-3</f>
        <v>0</v>
      </c>
      <c r="M110" s="107">
        <f>$C$73*M109*10^-3</f>
        <v>0</v>
      </c>
    </row>
    <row r="111" spans="1:13" x14ac:dyDescent="0.25">
      <c r="I111" s="90"/>
      <c r="J111" s="90"/>
      <c r="K111" s="90"/>
      <c r="L111" s="90"/>
      <c r="M111" s="90"/>
    </row>
    <row r="112" spans="1:13" x14ac:dyDescent="0.25">
      <c r="B112" s="249" t="s">
        <v>229</v>
      </c>
      <c r="C112" s="249"/>
      <c r="D112" s="249"/>
      <c r="I112" s="3" t="s">
        <v>224</v>
      </c>
      <c r="J112" s="8">
        <f>J110*$C$70</f>
        <v>0</v>
      </c>
      <c r="K112" s="8">
        <f>K110*$C$70</f>
        <v>0</v>
      </c>
      <c r="L112" s="8">
        <f>L110*$C$70</f>
        <v>0</v>
      </c>
      <c r="M112" s="8">
        <f>M110*$C$70</f>
        <v>0</v>
      </c>
    </row>
    <row r="113" spans="2:14" x14ac:dyDescent="0.25">
      <c r="B113" s="29"/>
      <c r="C113" s="29"/>
    </row>
    <row r="114" spans="2:14" ht="30" x14ac:dyDescent="0.25">
      <c r="B114" s="224" t="s">
        <v>270</v>
      </c>
      <c r="C114" s="126" t="s">
        <v>230</v>
      </c>
      <c r="D114" s="21">
        <f>Inputs!K14</f>
        <v>0</v>
      </c>
    </row>
    <row r="115" spans="2:14" x14ac:dyDescent="0.25">
      <c r="B115" s="224"/>
      <c r="C115" s="3" t="s">
        <v>231</v>
      </c>
      <c r="D115" s="21">
        <f>Inputs!K15</f>
        <v>0</v>
      </c>
    </row>
    <row r="116" spans="2:14" x14ac:dyDescent="0.25">
      <c r="B116" s="3" t="s">
        <v>227</v>
      </c>
      <c r="C116" s="223"/>
      <c r="D116" s="3">
        <v>50</v>
      </c>
    </row>
    <row r="117" spans="2:14" x14ac:dyDescent="0.25">
      <c r="B117" s="3" t="s">
        <v>271</v>
      </c>
      <c r="C117" s="223"/>
      <c r="D117" s="3">
        <v>3.5999999999999997E-2</v>
      </c>
    </row>
    <row r="118" spans="2:14" x14ac:dyDescent="0.25">
      <c r="B118" s="9" t="s">
        <v>228</v>
      </c>
      <c r="C118" s="223"/>
      <c r="D118" s="52">
        <f>SUM(D114:D115)</f>
        <v>0</v>
      </c>
    </row>
    <row r="119" spans="2:14" x14ac:dyDescent="0.25">
      <c r="B119" s="3" t="s">
        <v>344</v>
      </c>
      <c r="C119" s="223"/>
      <c r="D119" s="107">
        <f>C20*(D116*10^-3)</f>
        <v>8</v>
      </c>
    </row>
    <row r="120" spans="2:14" x14ac:dyDescent="0.25">
      <c r="B120" s="3" t="s">
        <v>208</v>
      </c>
      <c r="C120" s="223"/>
      <c r="D120" s="8">
        <f>D119*D118</f>
        <v>0</v>
      </c>
    </row>
    <row r="124" spans="2:14" ht="14.45" customHeight="1" x14ac:dyDescent="0.25">
      <c r="B124" s="244" t="s">
        <v>234</v>
      </c>
      <c r="C124" s="245"/>
      <c r="D124" s="245"/>
      <c r="E124" s="245"/>
      <c r="F124" s="245"/>
      <c r="G124" s="245"/>
      <c r="H124" s="245"/>
      <c r="I124" s="245"/>
      <c r="J124" s="245"/>
      <c r="K124" s="245"/>
      <c r="L124" s="245"/>
      <c r="M124" s="245"/>
      <c r="N124" s="246"/>
    </row>
    <row r="126" spans="2:14" x14ac:dyDescent="0.25">
      <c r="B126" s="127" t="s">
        <v>75</v>
      </c>
      <c r="C126" s="49">
        <f>Inputs!L4</f>
        <v>0</v>
      </c>
    </row>
    <row r="127" spans="2:14" x14ac:dyDescent="0.25">
      <c r="B127" s="3" t="s">
        <v>225</v>
      </c>
      <c r="C127" s="49">
        <f>Inputs!K7</f>
        <v>0</v>
      </c>
    </row>
    <row r="128" spans="2:14" x14ac:dyDescent="0.25">
      <c r="B128" s="3" t="s">
        <v>226</v>
      </c>
      <c r="C128" s="49">
        <f>Inputs!D26</f>
        <v>0</v>
      </c>
    </row>
    <row r="129" spans="1:20" x14ac:dyDescent="0.25">
      <c r="B129" s="4" t="s">
        <v>359</v>
      </c>
      <c r="C129" s="94">
        <f>IF(C130&lt;&gt;0,C130,C131)</f>
        <v>160</v>
      </c>
    </row>
    <row r="130" spans="1:20" x14ac:dyDescent="0.25">
      <c r="B130" s="4" t="s">
        <v>220</v>
      </c>
      <c r="C130" s="49">
        <f>IF(Inputs!D50&lt;&gt;0,Inputs!D50/(Inputs!D51*10^-3),0)</f>
        <v>0</v>
      </c>
    </row>
    <row r="131" spans="1:20" x14ac:dyDescent="0.25">
      <c r="B131" s="4" t="s">
        <v>221</v>
      </c>
      <c r="C131" s="192">
        <v>160</v>
      </c>
    </row>
    <row r="132" spans="1:20" x14ac:dyDescent="0.25">
      <c r="B132" s="3"/>
      <c r="C132" s="3"/>
    </row>
    <row r="134" spans="1:20" x14ac:dyDescent="0.25">
      <c r="B134" s="250" t="s">
        <v>200</v>
      </c>
      <c r="C134" s="251"/>
      <c r="D134" s="251"/>
      <c r="E134" s="251"/>
      <c r="F134" s="251"/>
      <c r="G134" s="251"/>
      <c r="H134" s="251"/>
      <c r="I134" s="251"/>
      <c r="J134" s="251"/>
      <c r="K134" s="251"/>
      <c r="L134" s="251"/>
      <c r="M134" s="252"/>
      <c r="P134" s="241" t="s">
        <v>242</v>
      </c>
      <c r="Q134" s="241"/>
      <c r="R134" s="241"/>
      <c r="S134" s="241"/>
      <c r="T134" s="241"/>
    </row>
    <row r="135" spans="1:20" x14ac:dyDescent="0.25">
      <c r="B135" s="253" t="s">
        <v>201</v>
      </c>
      <c r="C135" s="253"/>
      <c r="D135" s="253"/>
      <c r="E135" s="253"/>
      <c r="F135" s="253"/>
      <c r="P135" s="242" t="s">
        <v>48</v>
      </c>
      <c r="Q135" s="243"/>
      <c r="S135" s="242" t="s">
        <v>252</v>
      </c>
      <c r="T135" s="243"/>
    </row>
    <row r="136" spans="1:20" ht="30" x14ac:dyDescent="0.25">
      <c r="B136" s="254" t="s">
        <v>357</v>
      </c>
      <c r="C136" s="254"/>
      <c r="D136" s="254"/>
      <c r="E136" s="254"/>
      <c r="F136" s="254"/>
      <c r="P136" s="27" t="s">
        <v>243</v>
      </c>
      <c r="Q136" s="30">
        <f>IF(Inputs!D5=5,IF(AND(C127&lt;&gt;0,C128=1),INDEX(Areas!C146:F146,MATCH(C126,Areas!C137:F137,0)),FALSE),IF(C128=1,Inputs!D50*Areas!C127,0))</f>
        <v>0</v>
      </c>
      <c r="S136" s="27" t="s">
        <v>247</v>
      </c>
      <c r="T136" s="30">
        <f>IF(Inputs!D5=5,IF(AND(C127&lt;&gt;0,C128=1),INDEX(Areas!C159:F159,MATCH(C126,Areas!C137:F137,0)),FALSE),IF(C128=1,Inputs!D50/(Inputs!D51*10^-3)*220*10^-3*Areas!C127,0))</f>
        <v>0</v>
      </c>
    </row>
    <row r="137" spans="1:20" ht="30" x14ac:dyDescent="0.25">
      <c r="B137" s="127" t="s">
        <v>75</v>
      </c>
      <c r="C137" s="3" t="s">
        <v>4</v>
      </c>
      <c r="D137" s="3" t="s">
        <v>5</v>
      </c>
      <c r="E137" s="3" t="s">
        <v>6</v>
      </c>
      <c r="F137" s="3" t="s">
        <v>7</v>
      </c>
      <c r="P137" s="27" t="s">
        <v>244</v>
      </c>
      <c r="Q137" s="30">
        <f>IF(Inputs!D5=5,IF(AND(C128=2,C127&lt;&gt;0),INDEX(Areas!C151:F151,MATCH(C126,Areas!C137:F137,0)),FALSE),IF(C128=2,Inputs!D50*Areas!C127,0))</f>
        <v>0</v>
      </c>
      <c r="S137" s="27" t="s">
        <v>248</v>
      </c>
      <c r="T137" s="30">
        <f>IF(Inputs!D5=5,IF(AND(C128=2,C127&lt;&gt;0),INDEX(Areas!C164:F164,MATCH(C126,Areas!C137:F137,0)),FALSE),IF(C128=2,Inputs!D50/(Inputs!D51*10^-3)*220*10^-3*Areas!C127,0))</f>
        <v>0</v>
      </c>
    </row>
    <row r="138" spans="1:20" x14ac:dyDescent="0.25">
      <c r="A138" s="121" t="s">
        <v>232</v>
      </c>
      <c r="B138" s="3" t="s">
        <v>203</v>
      </c>
      <c r="C138" s="3">
        <v>0.5</v>
      </c>
      <c r="D138" s="3">
        <v>0.45</v>
      </c>
      <c r="E138" s="3">
        <v>0.4</v>
      </c>
      <c r="F138" s="3">
        <v>0.35</v>
      </c>
      <c r="P138" s="119" t="s">
        <v>245</v>
      </c>
      <c r="Q138" s="31">
        <f>25*Inputs!K7</f>
        <v>0</v>
      </c>
      <c r="S138" s="119" t="s">
        <v>245</v>
      </c>
      <c r="T138" s="24">
        <f>25*Inputs!K7</f>
        <v>0</v>
      </c>
    </row>
    <row r="139" spans="1:20" ht="15" customHeight="1" x14ac:dyDescent="0.25">
      <c r="A139" s="232" t="s">
        <v>233</v>
      </c>
      <c r="B139" s="262" t="s">
        <v>203</v>
      </c>
      <c r="C139" s="262">
        <v>1.2</v>
      </c>
      <c r="D139" s="262">
        <v>0.9</v>
      </c>
      <c r="E139" s="262">
        <v>0.75</v>
      </c>
      <c r="F139" s="262">
        <v>0.7</v>
      </c>
      <c r="P139" s="14"/>
      <c r="Q139" s="31"/>
      <c r="S139" s="119"/>
      <c r="T139" s="24"/>
    </row>
    <row r="140" spans="1:20" x14ac:dyDescent="0.25">
      <c r="A140" s="234"/>
      <c r="B140" s="263"/>
      <c r="C140" s="263"/>
      <c r="D140" s="263"/>
      <c r="E140" s="263"/>
      <c r="F140" s="263"/>
      <c r="P140" s="33"/>
      <c r="Q140" s="34"/>
      <c r="S140" s="33"/>
      <c r="T140" s="30"/>
    </row>
    <row r="141" spans="1:20" ht="14.45" customHeight="1" x14ac:dyDescent="0.25">
      <c r="P141" s="122" t="s">
        <v>246</v>
      </c>
      <c r="Q141" s="32">
        <f>IF(OR(C128=1,C128=2),SUM(Q136:Q140),0)</f>
        <v>0</v>
      </c>
      <c r="S141" s="122" t="s">
        <v>246</v>
      </c>
      <c r="T141" s="32">
        <f>SUM(T136:T140)</f>
        <v>0</v>
      </c>
    </row>
    <row r="143" spans="1:20" x14ac:dyDescent="0.25">
      <c r="A143" s="226" t="s">
        <v>232</v>
      </c>
      <c r="B143" s="3" t="s">
        <v>203</v>
      </c>
      <c r="C143" s="46">
        <v>0.45</v>
      </c>
      <c r="D143" s="46">
        <v>0.4</v>
      </c>
      <c r="E143" s="46">
        <v>0.35</v>
      </c>
      <c r="F143" s="46">
        <v>0.3</v>
      </c>
      <c r="P143" s="220" t="s">
        <v>255</v>
      </c>
      <c r="Q143" s="222"/>
      <c r="S143" s="220" t="s">
        <v>255</v>
      </c>
      <c r="T143" s="222"/>
    </row>
    <row r="144" spans="1:20" x14ac:dyDescent="0.25">
      <c r="A144" s="226"/>
      <c r="B144" s="3" t="s">
        <v>205</v>
      </c>
      <c r="C144" s="4">
        <v>70</v>
      </c>
      <c r="D144" s="4">
        <v>80</v>
      </c>
      <c r="E144" s="4">
        <v>90</v>
      </c>
      <c r="F144" s="4">
        <v>110</v>
      </c>
      <c r="P144" s="137" t="s">
        <v>409</v>
      </c>
      <c r="Q144" s="112">
        <f>IF(Inputs!D5=5,IF(C127&lt;&gt;0,INDEX(Areas!C144:F144,MATCH(C126,Areas!C137:F137,0)),FALSE),Inputs!D51)</f>
        <v>0</v>
      </c>
      <c r="S144" s="137" t="s">
        <v>409</v>
      </c>
      <c r="T144" s="112">
        <f>IF(Inputs!D5=5,IF(C127&lt;&gt;0,INDEX(Areas!C157:F157,MATCH(C126,Areas!C137:F137,0)),FALSE),220)</f>
        <v>220</v>
      </c>
    </row>
    <row r="145" spans="1:20" x14ac:dyDescent="0.25">
      <c r="A145" s="226"/>
      <c r="B145" s="3" t="s">
        <v>223</v>
      </c>
      <c r="C145" s="107">
        <f>C144*$C$129*10^-3</f>
        <v>11.200000000000001</v>
      </c>
      <c r="D145" s="107">
        <f>D144*$C$129*10^-3</f>
        <v>12.8</v>
      </c>
      <c r="E145" s="107">
        <f>E144*$C$129*10^-3</f>
        <v>14.4</v>
      </c>
      <c r="F145" s="107">
        <f>F144*$C$129*10^-3</f>
        <v>17.600000000000001</v>
      </c>
      <c r="P145" s="137" t="s">
        <v>410</v>
      </c>
      <c r="Q145" s="112">
        <f>IF(Inputs!D5=5,IF(C127&lt;&gt;0,INDEX(Areas!C149:F149,MATCH(C126,Areas!C137:F137,0)),FALSE),Inputs!D51)</f>
        <v>0</v>
      </c>
      <c r="S145" s="137" t="s">
        <v>410</v>
      </c>
      <c r="T145" s="112">
        <f>IF(Inputs!D5=5,IF(C127&lt;&gt;0,INDEX(Areas!C162:F162,MATCH(C126,Areas!C137:F137,0)),FALSE),220)</f>
        <v>220</v>
      </c>
    </row>
    <row r="146" spans="1:20" x14ac:dyDescent="0.25">
      <c r="A146" s="226"/>
      <c r="B146" s="3" t="s">
        <v>208</v>
      </c>
      <c r="C146" s="8" t="b">
        <f>IF($C$128=1,C145*$C$127)</f>
        <v>0</v>
      </c>
      <c r="D146" s="8" t="b">
        <f>IF($C$128=1,D145*$C$127)</f>
        <v>0</v>
      </c>
      <c r="E146" s="8" t="b">
        <f>IF($C$128=1,E145*$C$127)</f>
        <v>0</v>
      </c>
      <c r="F146" s="8" t="b">
        <f>IF($C$128=1,F145*$C$127)</f>
        <v>0</v>
      </c>
    </row>
    <row r="148" spans="1:20" ht="16.149999999999999" customHeight="1" x14ac:dyDescent="0.25">
      <c r="A148" s="224" t="s">
        <v>235</v>
      </c>
      <c r="B148" s="3" t="s">
        <v>203</v>
      </c>
      <c r="C148" s="46">
        <v>0.9</v>
      </c>
      <c r="D148" s="46">
        <v>0.75</v>
      </c>
      <c r="E148" s="46">
        <v>0.7</v>
      </c>
      <c r="F148" s="46">
        <v>0.65</v>
      </c>
    </row>
    <row r="149" spans="1:20" x14ac:dyDescent="0.25">
      <c r="A149" s="224"/>
      <c r="B149" s="3" t="s">
        <v>205</v>
      </c>
      <c r="C149" s="4">
        <v>65</v>
      </c>
      <c r="D149" s="4">
        <v>75</v>
      </c>
      <c r="E149" s="4">
        <v>90</v>
      </c>
      <c r="F149" s="4">
        <v>110</v>
      </c>
    </row>
    <row r="150" spans="1:20" x14ac:dyDescent="0.25">
      <c r="A150" s="224"/>
      <c r="B150" s="3" t="s">
        <v>223</v>
      </c>
      <c r="C150" s="107">
        <f>$C$129*C149*10^-3</f>
        <v>10.4</v>
      </c>
      <c r="D150" s="107">
        <f>$C$129*D149*10^-3</f>
        <v>12</v>
      </c>
      <c r="E150" s="107">
        <f>$C$129*E149*10^-3</f>
        <v>14.4</v>
      </c>
      <c r="F150" s="107">
        <f>$C$129*F149*10^-3</f>
        <v>17.600000000000001</v>
      </c>
    </row>
    <row r="151" spans="1:20" x14ac:dyDescent="0.25">
      <c r="A151" s="224"/>
      <c r="B151" s="3" t="s">
        <v>208</v>
      </c>
      <c r="C151" s="8" t="b">
        <f>IF($C$128=2,C150*$C$127)</f>
        <v>0</v>
      </c>
      <c r="D151" s="8" t="b">
        <f>IF($C$128=2,D150*$C$127)</f>
        <v>0</v>
      </c>
      <c r="E151" s="8" t="b">
        <f>IF($C$128=2,E150*$C$127)</f>
        <v>0</v>
      </c>
      <c r="F151" s="8" t="b">
        <f>IF($C$128=2,F150*$C$127)</f>
        <v>0</v>
      </c>
    </row>
    <row r="155" spans="1:20" x14ac:dyDescent="0.25">
      <c r="B155" s="250" t="s">
        <v>358</v>
      </c>
      <c r="C155" s="251"/>
      <c r="D155" s="251"/>
      <c r="E155" s="251"/>
      <c r="F155" s="251"/>
      <c r="G155" s="251"/>
      <c r="H155" s="251"/>
      <c r="I155" s="251"/>
      <c r="J155" s="251"/>
      <c r="K155" s="251"/>
      <c r="L155" s="251"/>
      <c r="M155" s="252"/>
    </row>
    <row r="156" spans="1:20" x14ac:dyDescent="0.25">
      <c r="A156" s="226" t="s">
        <v>232</v>
      </c>
      <c r="B156" s="3" t="s">
        <v>203</v>
      </c>
      <c r="C156" s="25">
        <v>0.25</v>
      </c>
      <c r="D156" s="25">
        <v>0.22500000000000001</v>
      </c>
      <c r="E156" s="25">
        <v>0.2</v>
      </c>
      <c r="F156" s="25">
        <v>0.17499999999999999</v>
      </c>
    </row>
    <row r="157" spans="1:20" x14ac:dyDescent="0.25">
      <c r="A157" s="226"/>
      <c r="B157" s="3" t="s">
        <v>205</v>
      </c>
      <c r="C157" s="4">
        <v>130</v>
      </c>
      <c r="D157" s="4">
        <v>150</v>
      </c>
      <c r="E157" s="4">
        <v>170</v>
      </c>
      <c r="F157" s="4">
        <v>200</v>
      </c>
    </row>
    <row r="158" spans="1:20" x14ac:dyDescent="0.25">
      <c r="A158" s="226"/>
      <c r="B158" s="3" t="s">
        <v>223</v>
      </c>
      <c r="C158" s="107">
        <f>$C$129*C157*10^-3</f>
        <v>20.8</v>
      </c>
      <c r="D158" s="107">
        <f>$C$129*D157*10^-3</f>
        <v>24</v>
      </c>
      <c r="E158" s="107">
        <f>$C$129*E157*10^-3</f>
        <v>27.2</v>
      </c>
      <c r="F158" s="107">
        <f>$C$129*F157*10^-3</f>
        <v>32</v>
      </c>
    </row>
    <row r="159" spans="1:20" x14ac:dyDescent="0.25">
      <c r="A159" s="226"/>
      <c r="B159" s="3" t="s">
        <v>208</v>
      </c>
      <c r="C159" s="8" t="b">
        <f>IF($C$128=1,C158*$C$127)</f>
        <v>0</v>
      </c>
      <c r="D159" s="8" t="b">
        <f>IF($C$128=1,D158*$C$127)</f>
        <v>0</v>
      </c>
      <c r="E159" s="8" t="b">
        <f>IF($C$128=1,E158*$C$127)</f>
        <v>0</v>
      </c>
      <c r="F159" s="8" t="b">
        <f>IF($C$128=1,F158*$C$127)</f>
        <v>0</v>
      </c>
    </row>
    <row r="161" spans="1:6" ht="14.45" customHeight="1" x14ac:dyDescent="0.25">
      <c r="A161" s="224" t="s">
        <v>235</v>
      </c>
      <c r="B161" s="3" t="s">
        <v>203</v>
      </c>
      <c r="C161" s="46">
        <v>0.6</v>
      </c>
      <c r="D161" s="46">
        <v>0.45</v>
      </c>
      <c r="E161" s="46">
        <v>0.375</v>
      </c>
      <c r="F161" s="46">
        <v>0.35</v>
      </c>
    </row>
    <row r="162" spans="1:6" x14ac:dyDescent="0.25">
      <c r="A162" s="224"/>
      <c r="B162" s="3" t="s">
        <v>205</v>
      </c>
      <c r="C162" s="4">
        <v>130</v>
      </c>
      <c r="D162" s="4">
        <v>150</v>
      </c>
      <c r="E162" s="4">
        <v>170</v>
      </c>
      <c r="F162" s="4">
        <v>200</v>
      </c>
    </row>
    <row r="163" spans="1:6" x14ac:dyDescent="0.25">
      <c r="A163" s="224"/>
      <c r="B163" s="3" t="s">
        <v>223</v>
      </c>
      <c r="C163" s="107">
        <f>$C$129*C162*10^-3</f>
        <v>20.8</v>
      </c>
      <c r="D163" s="107">
        <f>$C$129*D162*10^-3</f>
        <v>24</v>
      </c>
      <c r="E163" s="107">
        <f>$C$129*E162*10^-3</f>
        <v>27.2</v>
      </c>
      <c r="F163" s="107">
        <f>$C$129*F162*10^-3</f>
        <v>32</v>
      </c>
    </row>
    <row r="164" spans="1:6" x14ac:dyDescent="0.25">
      <c r="A164" s="224"/>
      <c r="B164" s="3" t="s">
        <v>208</v>
      </c>
      <c r="C164" s="8" t="b">
        <f>IF($C$128=2,C163*$C$127)</f>
        <v>0</v>
      </c>
      <c r="D164" s="8" t="b">
        <f>IF($C$128=2,D163*$C$127)</f>
        <v>0</v>
      </c>
      <c r="E164" s="8" t="b">
        <f>IF($C$128=2,E163*$C$127)</f>
        <v>0</v>
      </c>
      <c r="F164" s="8" t="b">
        <f>IF($C$128=2,F163*$C$127)</f>
        <v>0</v>
      </c>
    </row>
    <row r="170" spans="1:6" x14ac:dyDescent="0.25">
      <c r="B170" s="235" t="s">
        <v>236</v>
      </c>
      <c r="C170" s="235"/>
    </row>
    <row r="171" spans="1:6" x14ac:dyDescent="0.25">
      <c r="B171" s="3" t="s">
        <v>237</v>
      </c>
      <c r="C171" s="3">
        <f>Inputs!K12</f>
        <v>0</v>
      </c>
    </row>
    <row r="172" spans="1:6" x14ac:dyDescent="0.25">
      <c r="B172" s="3" t="s">
        <v>240</v>
      </c>
      <c r="C172" s="3">
        <f>3*0.5+1.5*2*0.5</f>
        <v>3</v>
      </c>
    </row>
    <row r="173" spans="1:6" ht="13.9" customHeight="1" x14ac:dyDescent="0.25">
      <c r="B173" s="3" t="s">
        <v>238</v>
      </c>
      <c r="C173" s="3">
        <f>C171*2+C172</f>
        <v>3</v>
      </c>
    </row>
    <row r="174" spans="1:6" x14ac:dyDescent="0.25">
      <c r="B174" s="3" t="s">
        <v>239</v>
      </c>
      <c r="C174" s="3">
        <v>10</v>
      </c>
    </row>
    <row r="175" spans="1:6" x14ac:dyDescent="0.25">
      <c r="B175" s="3" t="s">
        <v>223</v>
      </c>
      <c r="C175" s="3">
        <f>C73*C174*10^-3</f>
        <v>1.6</v>
      </c>
    </row>
    <row r="176" spans="1:6" x14ac:dyDescent="0.25">
      <c r="B176" s="3" t="s">
        <v>208</v>
      </c>
      <c r="C176" s="160">
        <f>IF(C171=0,0,C175*C173)</f>
        <v>0</v>
      </c>
    </row>
    <row r="180" spans="2:4" x14ac:dyDescent="0.25">
      <c r="B180" s="3" t="s">
        <v>436</v>
      </c>
      <c r="C180" s="152">
        <f>21.46*Inputs!D8</f>
        <v>0</v>
      </c>
      <c r="D180" s="152">
        <f>21.46*Inputs!D8</f>
        <v>0</v>
      </c>
    </row>
    <row r="181" spans="2:4" x14ac:dyDescent="0.25">
      <c r="B181" s="3"/>
      <c r="C181" s="3" t="s">
        <v>48</v>
      </c>
      <c r="D181" s="3" t="s">
        <v>8</v>
      </c>
    </row>
    <row r="182" spans="2:4" x14ac:dyDescent="0.25">
      <c r="B182" s="126" t="s">
        <v>241</v>
      </c>
      <c r="C182" s="67">
        <f>Q141+Q85+Q37+C180</f>
        <v>0</v>
      </c>
      <c r="D182" s="67" t="e">
        <f>C176+T141+T85+T37+D180</f>
        <v>#DIV/0!</v>
      </c>
    </row>
  </sheetData>
  <sheetProtection sheet="1" objects="1" scenarios="1" formatCells="0"/>
  <mergeCells count="60">
    <mergeCell ref="I102:M102"/>
    <mergeCell ref="E15:G15"/>
    <mergeCell ref="B139:B140"/>
    <mergeCell ref="C139:C140"/>
    <mergeCell ref="D139:D140"/>
    <mergeCell ref="E139:E140"/>
    <mergeCell ref="F139:F140"/>
    <mergeCell ref="B11:N11"/>
    <mergeCell ref="B28:F28"/>
    <mergeCell ref="I28:M28"/>
    <mergeCell ref="I32:M32"/>
    <mergeCell ref="I29:M29"/>
    <mergeCell ref="B29:F29"/>
    <mergeCell ref="B27:M27"/>
    <mergeCell ref="P29:T29"/>
    <mergeCell ref="P30:Q30"/>
    <mergeCell ref="S30:T30"/>
    <mergeCell ref="B80:F80"/>
    <mergeCell ref="I105:M105"/>
    <mergeCell ref="B81:F81"/>
    <mergeCell ref="I80:M80"/>
    <mergeCell ref="I81:M81"/>
    <mergeCell ref="I84:M84"/>
    <mergeCell ref="B100:M100"/>
    <mergeCell ref="B79:M79"/>
    <mergeCell ref="B63:N63"/>
    <mergeCell ref="P85:P86"/>
    <mergeCell ref="S85:S86"/>
    <mergeCell ref="Q85:Q86"/>
    <mergeCell ref="E70:G70"/>
    <mergeCell ref="A156:A159"/>
    <mergeCell ref="A161:A164"/>
    <mergeCell ref="P134:T134"/>
    <mergeCell ref="P135:Q135"/>
    <mergeCell ref="S135:T135"/>
    <mergeCell ref="B134:M134"/>
    <mergeCell ref="B135:F135"/>
    <mergeCell ref="B136:F136"/>
    <mergeCell ref="B155:M155"/>
    <mergeCell ref="A139:A140"/>
    <mergeCell ref="A148:A151"/>
    <mergeCell ref="A143:A146"/>
    <mergeCell ref="P143:Q143"/>
    <mergeCell ref="S143:T143"/>
    <mergeCell ref="P40:Q40"/>
    <mergeCell ref="S40:T40"/>
    <mergeCell ref="B170:C170"/>
    <mergeCell ref="B114:B115"/>
    <mergeCell ref="P79:T79"/>
    <mergeCell ref="P80:Q80"/>
    <mergeCell ref="S80:T80"/>
    <mergeCell ref="B124:N124"/>
    <mergeCell ref="T85:T86"/>
    <mergeCell ref="C116:C120"/>
    <mergeCell ref="B112:D112"/>
    <mergeCell ref="P88:Q88"/>
    <mergeCell ref="S88:T88"/>
    <mergeCell ref="B46:M46"/>
    <mergeCell ref="I48:M48"/>
    <mergeCell ref="I101:M101"/>
  </mergeCells>
  <dataValidations disablePrompts="1" count="2">
    <dataValidation type="list" allowBlank="1" showInputMessage="1" showErrorMessage="1" sqref="C110">
      <formula1>"1- Ναι, 2- Όχι"</formula1>
    </dataValidation>
    <dataValidation type="list" allowBlank="1" showInputMessage="1" showErrorMessage="1" sqref="H16:H23">
      <formula1>"1,2"</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B4:O118"/>
  <sheetViews>
    <sheetView topLeftCell="A49" zoomScale="90" zoomScaleNormal="90" workbookViewId="0">
      <selection activeCell="C74" sqref="C74"/>
    </sheetView>
  </sheetViews>
  <sheetFormatPr baseColWidth="10" defaultColWidth="9.140625" defaultRowHeight="15" outlineLevelRow="1" x14ac:dyDescent="0.25"/>
  <cols>
    <col min="1" max="1" width="24" customWidth="1"/>
    <col min="2" max="2" width="31.28515625" customWidth="1"/>
    <col min="3" max="3" width="25.7109375" customWidth="1"/>
    <col min="4" max="4" width="40.85546875" customWidth="1"/>
    <col min="5" max="5" width="30.7109375" customWidth="1"/>
    <col min="6" max="6" width="12" bestFit="1" customWidth="1"/>
    <col min="7" max="9" width="9.7109375" bestFit="1" customWidth="1"/>
    <col min="11" max="11" width="9.7109375" bestFit="1" customWidth="1"/>
  </cols>
  <sheetData>
    <row r="4" spans="4:6" ht="15" customHeight="1" x14ac:dyDescent="0.25">
      <c r="D4" s="3" t="s">
        <v>300</v>
      </c>
      <c r="E4" s="66">
        <f>Inputs!D29</f>
        <v>0</v>
      </c>
    </row>
    <row r="5" spans="4:6" x14ac:dyDescent="0.25">
      <c r="D5" s="3" t="s">
        <v>299</v>
      </c>
      <c r="E5" s="6">
        <f>Inputs!D8*Inputs!D9</f>
        <v>0</v>
      </c>
    </row>
    <row r="6" spans="4:6" x14ac:dyDescent="0.25">
      <c r="D6" s="3" t="s">
        <v>298</v>
      </c>
      <c r="E6" s="6">
        <f>IF(30*E4&gt;E5*0.3,30*E4,0.3*E5)</f>
        <v>0</v>
      </c>
    </row>
    <row r="7" spans="4:6" x14ac:dyDescent="0.25">
      <c r="D7" s="3" t="s">
        <v>297</v>
      </c>
      <c r="E7" s="48">
        <f>Inputs!D8</f>
        <v>0</v>
      </c>
    </row>
    <row r="8" spans="4:6" x14ac:dyDescent="0.25">
      <c r="D8" s="55" t="s">
        <v>296</v>
      </c>
      <c r="E8" s="48">
        <f>Inputs!D30</f>
        <v>0</v>
      </c>
    </row>
    <row r="9" spans="4:6" ht="14.45" customHeight="1" x14ac:dyDescent="0.25">
      <c r="D9" s="55" t="s">
        <v>295</v>
      </c>
      <c r="E9" s="48">
        <f>Inputs!D31</f>
        <v>0</v>
      </c>
    </row>
    <row r="10" spans="4:6" ht="14.45" customHeight="1" x14ac:dyDescent="0.25">
      <c r="D10" s="79"/>
      <c r="E10" s="80"/>
    </row>
    <row r="11" spans="4:6" ht="14.45" customHeight="1" x14ac:dyDescent="0.25">
      <c r="D11" s="55" t="s">
        <v>293</v>
      </c>
      <c r="E11" s="104" t="e">
        <f>E79</f>
        <v>#N/A</v>
      </c>
    </row>
    <row r="12" spans="4:6" ht="14.45" customHeight="1" x14ac:dyDescent="0.25">
      <c r="D12" s="55" t="s">
        <v>388</v>
      </c>
      <c r="E12" s="48">
        <v>15</v>
      </c>
      <c r="F12">
        <f>E12*E7</f>
        <v>0</v>
      </c>
    </row>
    <row r="13" spans="4:6" ht="14.45" customHeight="1" x14ac:dyDescent="0.25">
      <c r="D13" s="55" t="s">
        <v>294</v>
      </c>
      <c r="E13" s="86" t="e">
        <f>IF(Inputs!D81=0,E79+E12*E7,E79+Inputs!D81)</f>
        <v>#N/A</v>
      </c>
    </row>
    <row r="14" spans="4:6" ht="14.45" customHeight="1" x14ac:dyDescent="0.25">
      <c r="D14" s="79"/>
      <c r="E14" s="80"/>
    </row>
    <row r="15" spans="4:6" ht="14.45" customHeight="1" x14ac:dyDescent="0.25">
      <c r="D15" s="79"/>
      <c r="E15" s="80"/>
    </row>
    <row r="16" spans="4:6" ht="14.45" customHeight="1" x14ac:dyDescent="0.25">
      <c r="D16" s="79"/>
      <c r="E16" s="80"/>
    </row>
    <row r="17" spans="4:15" hidden="1" outlineLevel="1" x14ac:dyDescent="0.25">
      <c r="N17" s="270" t="s">
        <v>389</v>
      </c>
      <c r="O17" s="272" t="s">
        <v>390</v>
      </c>
    </row>
    <row r="18" spans="4:15" hidden="1" outlineLevel="1" x14ac:dyDescent="0.25">
      <c r="D18" s="269" t="s">
        <v>15</v>
      </c>
      <c r="E18" s="269"/>
      <c r="F18" s="44"/>
      <c r="G18" s="44"/>
      <c r="H18" s="44"/>
      <c r="I18" s="44"/>
      <c r="J18" s="44"/>
      <c r="K18" s="44"/>
      <c r="L18" s="44"/>
      <c r="M18" s="44"/>
      <c r="N18" s="270"/>
      <c r="O18" s="272"/>
    </row>
    <row r="19" spans="4:15" hidden="1" outlineLevel="1" x14ac:dyDescent="0.25">
      <c r="D19" s="63" t="s">
        <v>16</v>
      </c>
      <c r="E19" s="63" t="s">
        <v>17</v>
      </c>
      <c r="F19" s="59" t="s">
        <v>18</v>
      </c>
      <c r="G19" s="10" t="s">
        <v>28</v>
      </c>
      <c r="H19" s="10" t="s">
        <v>29</v>
      </c>
      <c r="I19" s="65" t="s">
        <v>30</v>
      </c>
      <c r="J19" s="65" t="s">
        <v>31</v>
      </c>
      <c r="K19" s="10" t="s">
        <v>32</v>
      </c>
      <c r="L19" s="10" t="s">
        <v>33</v>
      </c>
      <c r="M19" s="10" t="s">
        <v>34</v>
      </c>
      <c r="N19" s="271"/>
      <c r="O19" s="273"/>
    </row>
    <row r="20" spans="4:15" hidden="1" outlineLevel="1" x14ac:dyDescent="0.25">
      <c r="D20" s="62" t="s">
        <v>19</v>
      </c>
      <c r="E20" s="62">
        <v>2</v>
      </c>
      <c r="F20" s="62">
        <v>5</v>
      </c>
      <c r="G20" s="44">
        <v>2.5</v>
      </c>
      <c r="H20" s="44">
        <f>F20*G20</f>
        <v>12.5</v>
      </c>
      <c r="I20" s="44">
        <f>IF(E20=1,H20*0.5,0)</f>
        <v>0</v>
      </c>
      <c r="J20" s="44">
        <f>IF(E20=1,0,H20*1.3)</f>
        <v>16.25</v>
      </c>
      <c r="K20" s="44">
        <f>SUM(I20:J20)/H20</f>
        <v>1.3</v>
      </c>
      <c r="L20" s="44">
        <f t="shared" ref="L20:L38" si="0">IF(AND($J$39&gt;$I$39,I20&lt;&gt;0),I20+($J$39-$I$39)/$E$8,I20)</f>
        <v>0</v>
      </c>
      <c r="M20" s="44" t="e">
        <f t="shared" ref="M20:M38" si="1">IF(AND($I$39&gt;$J$39,J20&lt;&gt;0),J20+($I$39-$J$39)/$E$9,J20)</f>
        <v>#DIV/0!</v>
      </c>
      <c r="N20" s="44">
        <f>ROUNDUP(L20/30,0)</f>
        <v>0</v>
      </c>
      <c r="O20" s="44" t="e">
        <f>ROUNDUP(M20/30,0)</f>
        <v>#DIV/0!</v>
      </c>
    </row>
    <row r="21" spans="4:15" hidden="1" outlineLevel="1" x14ac:dyDescent="0.25">
      <c r="D21" s="62" t="s">
        <v>20</v>
      </c>
      <c r="E21" s="62">
        <v>2</v>
      </c>
      <c r="F21" s="62">
        <v>3</v>
      </c>
      <c r="G21" s="44">
        <v>2.5</v>
      </c>
      <c r="H21" s="44">
        <f t="shared" ref="H21:H28" si="2">F21*G21</f>
        <v>7.5</v>
      </c>
      <c r="I21" s="44">
        <f t="shared" ref="I21:I38" si="3">IF(E21=1,H21*0.5,0)</f>
        <v>0</v>
      </c>
      <c r="J21" s="44">
        <f t="shared" ref="J21:J38" si="4">IF(E21=1,0,H21*1.3)</f>
        <v>9.75</v>
      </c>
      <c r="K21" s="44">
        <f t="shared" ref="K21:K38" si="5">SUM(I21:J21)/H21</f>
        <v>1.3</v>
      </c>
      <c r="L21" s="44">
        <f t="shared" si="0"/>
        <v>0</v>
      </c>
      <c r="M21" s="44" t="e">
        <f t="shared" si="1"/>
        <v>#DIV/0!</v>
      </c>
      <c r="N21" s="44">
        <f t="shared" ref="N21:N38" si="6">ROUNDUP(L21/30,0)</f>
        <v>0</v>
      </c>
      <c r="O21" s="44" t="e">
        <f t="shared" ref="O21:O38" si="7">ROUNDUP(M21/30,0)</f>
        <v>#DIV/0!</v>
      </c>
    </row>
    <row r="22" spans="4:15" hidden="1" outlineLevel="1" x14ac:dyDescent="0.25">
      <c r="D22" s="62" t="s">
        <v>21</v>
      </c>
      <c r="E22" s="62">
        <v>2</v>
      </c>
      <c r="F22" s="62">
        <v>30</v>
      </c>
      <c r="G22" s="44">
        <v>2.5</v>
      </c>
      <c r="H22" s="44">
        <f t="shared" si="2"/>
        <v>75</v>
      </c>
      <c r="I22" s="44">
        <f t="shared" si="3"/>
        <v>0</v>
      </c>
      <c r="J22" s="44">
        <f>IF(E22=1,0,H22*1.3)</f>
        <v>97.5</v>
      </c>
      <c r="K22" s="44">
        <f>SUM(I22:J22)/H22</f>
        <v>1.3</v>
      </c>
      <c r="L22" s="44">
        <f t="shared" si="0"/>
        <v>0</v>
      </c>
      <c r="M22" s="44" t="e">
        <f t="shared" si="1"/>
        <v>#DIV/0!</v>
      </c>
      <c r="N22" s="44">
        <f t="shared" si="6"/>
        <v>0</v>
      </c>
      <c r="O22" s="44" t="e">
        <f t="shared" si="7"/>
        <v>#DIV/0!</v>
      </c>
    </row>
    <row r="23" spans="4:15" hidden="1" outlineLevel="1" x14ac:dyDescent="0.25">
      <c r="D23" s="62" t="s">
        <v>22</v>
      </c>
      <c r="E23" s="62">
        <v>2</v>
      </c>
      <c r="F23" s="62">
        <v>2</v>
      </c>
      <c r="G23" s="44">
        <v>2.5</v>
      </c>
      <c r="H23" s="44">
        <f t="shared" si="2"/>
        <v>5</v>
      </c>
      <c r="I23" s="44">
        <f t="shared" si="3"/>
        <v>0</v>
      </c>
      <c r="J23" s="44">
        <f t="shared" si="4"/>
        <v>6.5</v>
      </c>
      <c r="K23" s="44">
        <f t="shared" si="5"/>
        <v>1.3</v>
      </c>
      <c r="L23" s="44">
        <f t="shared" si="0"/>
        <v>0</v>
      </c>
      <c r="M23" s="44" t="e">
        <f t="shared" si="1"/>
        <v>#DIV/0!</v>
      </c>
      <c r="N23" s="44">
        <f t="shared" si="6"/>
        <v>0</v>
      </c>
      <c r="O23" s="44" t="e">
        <f t="shared" si="7"/>
        <v>#DIV/0!</v>
      </c>
    </row>
    <row r="24" spans="4:15" hidden="1" outlineLevel="1" x14ac:dyDescent="0.25">
      <c r="D24" s="62" t="s">
        <v>23</v>
      </c>
      <c r="E24" s="62">
        <v>1</v>
      </c>
      <c r="F24" s="62">
        <v>15</v>
      </c>
      <c r="G24" s="44">
        <v>2.5</v>
      </c>
      <c r="H24" s="44">
        <f t="shared" si="2"/>
        <v>37.5</v>
      </c>
      <c r="I24" s="44">
        <f t="shared" si="3"/>
        <v>18.75</v>
      </c>
      <c r="J24" s="44">
        <f t="shared" si="4"/>
        <v>0</v>
      </c>
      <c r="K24" s="44">
        <f t="shared" si="5"/>
        <v>0.5</v>
      </c>
      <c r="L24" s="44">
        <f t="shared" si="0"/>
        <v>18.75</v>
      </c>
      <c r="M24" s="44">
        <f t="shared" si="1"/>
        <v>0</v>
      </c>
      <c r="N24" s="44">
        <f t="shared" si="6"/>
        <v>1</v>
      </c>
      <c r="O24" s="44">
        <f t="shared" si="7"/>
        <v>0</v>
      </c>
    </row>
    <row r="25" spans="4:15" hidden="1" outlineLevel="1" x14ac:dyDescent="0.25">
      <c r="D25" s="62" t="s">
        <v>24</v>
      </c>
      <c r="E25" s="62">
        <v>1</v>
      </c>
      <c r="F25" s="62">
        <v>15</v>
      </c>
      <c r="G25" s="44">
        <v>2.5</v>
      </c>
      <c r="H25" s="44">
        <f t="shared" si="2"/>
        <v>37.5</v>
      </c>
      <c r="I25" s="44">
        <f t="shared" si="3"/>
        <v>18.75</v>
      </c>
      <c r="J25" s="44">
        <f t="shared" si="4"/>
        <v>0</v>
      </c>
      <c r="K25" s="44">
        <f t="shared" si="5"/>
        <v>0.5</v>
      </c>
      <c r="L25" s="44">
        <f t="shared" si="0"/>
        <v>18.75</v>
      </c>
      <c r="M25" s="44">
        <f t="shared" si="1"/>
        <v>0</v>
      </c>
      <c r="N25" s="44">
        <f t="shared" si="6"/>
        <v>1</v>
      </c>
      <c r="O25" s="44">
        <f t="shared" si="7"/>
        <v>0</v>
      </c>
    </row>
    <row r="26" spans="4:15" hidden="1" outlineLevel="1" x14ac:dyDescent="0.25">
      <c r="D26" s="62" t="s">
        <v>24</v>
      </c>
      <c r="E26" s="62">
        <v>1</v>
      </c>
      <c r="F26" s="62">
        <v>15</v>
      </c>
      <c r="G26" s="44">
        <v>2.5</v>
      </c>
      <c r="H26" s="44">
        <f t="shared" si="2"/>
        <v>37.5</v>
      </c>
      <c r="I26" s="44">
        <f>IF(E26=1,H26*0.5,0)</f>
        <v>18.75</v>
      </c>
      <c r="J26" s="44">
        <f t="shared" si="4"/>
        <v>0</v>
      </c>
      <c r="K26" s="44">
        <f t="shared" si="5"/>
        <v>0.5</v>
      </c>
      <c r="L26" s="44">
        <f t="shared" si="0"/>
        <v>18.75</v>
      </c>
      <c r="M26" s="44">
        <f t="shared" si="1"/>
        <v>0</v>
      </c>
      <c r="N26" s="44">
        <f t="shared" si="6"/>
        <v>1</v>
      </c>
      <c r="O26" s="44">
        <f t="shared" si="7"/>
        <v>0</v>
      </c>
    </row>
    <row r="27" spans="4:15" hidden="1" outlineLevel="1" x14ac:dyDescent="0.25">
      <c r="D27" s="62" t="s">
        <v>25</v>
      </c>
      <c r="E27" s="62">
        <v>1</v>
      </c>
      <c r="F27" s="62">
        <v>30</v>
      </c>
      <c r="G27" s="44">
        <v>2.5</v>
      </c>
      <c r="H27" s="44">
        <f t="shared" si="2"/>
        <v>75</v>
      </c>
      <c r="I27" s="44">
        <f t="shared" si="3"/>
        <v>37.5</v>
      </c>
      <c r="J27" s="44">
        <f t="shared" si="4"/>
        <v>0</v>
      </c>
      <c r="K27" s="44">
        <f t="shared" si="5"/>
        <v>0.5</v>
      </c>
      <c r="L27" s="44">
        <f t="shared" si="0"/>
        <v>37.5</v>
      </c>
      <c r="M27" s="44">
        <f t="shared" si="1"/>
        <v>0</v>
      </c>
      <c r="N27" s="44">
        <f t="shared" si="6"/>
        <v>2</v>
      </c>
      <c r="O27" s="44">
        <f t="shared" si="7"/>
        <v>0</v>
      </c>
    </row>
    <row r="28" spans="4:15" hidden="1" outlineLevel="1" x14ac:dyDescent="0.25">
      <c r="D28" s="62" t="s">
        <v>26</v>
      </c>
      <c r="E28" s="62">
        <v>1</v>
      </c>
      <c r="F28" s="62">
        <v>35</v>
      </c>
      <c r="G28" s="44">
        <v>2.5</v>
      </c>
      <c r="H28" s="44">
        <f t="shared" si="2"/>
        <v>87.5</v>
      </c>
      <c r="I28" s="44">
        <f t="shared" si="3"/>
        <v>43.75</v>
      </c>
      <c r="J28" s="44">
        <f t="shared" si="4"/>
        <v>0</v>
      </c>
      <c r="K28" s="44">
        <f t="shared" si="5"/>
        <v>0.5</v>
      </c>
      <c r="L28" s="44">
        <f t="shared" si="0"/>
        <v>43.75</v>
      </c>
      <c r="M28" s="44">
        <f t="shared" si="1"/>
        <v>0</v>
      </c>
      <c r="N28" s="44">
        <f t="shared" si="6"/>
        <v>2</v>
      </c>
      <c r="O28" s="44">
        <f t="shared" si="7"/>
        <v>0</v>
      </c>
    </row>
    <row r="29" spans="4:15" hidden="1" outlineLevel="1" x14ac:dyDescent="0.25">
      <c r="D29" s="62"/>
      <c r="E29" s="62"/>
      <c r="F29" s="62"/>
      <c r="G29" s="44">
        <v>2.5</v>
      </c>
      <c r="H29" s="44"/>
      <c r="I29" s="44">
        <f t="shared" si="3"/>
        <v>0</v>
      </c>
      <c r="J29" s="44">
        <f t="shared" si="4"/>
        <v>0</v>
      </c>
      <c r="K29" s="44" t="e">
        <f t="shared" si="5"/>
        <v>#DIV/0!</v>
      </c>
      <c r="L29" s="44">
        <f t="shared" si="0"/>
        <v>0</v>
      </c>
      <c r="M29" s="44">
        <f t="shared" si="1"/>
        <v>0</v>
      </c>
      <c r="N29" s="44">
        <f t="shared" si="6"/>
        <v>0</v>
      </c>
      <c r="O29" s="44">
        <f t="shared" si="7"/>
        <v>0</v>
      </c>
    </row>
    <row r="30" spans="4:15" hidden="1" outlineLevel="1" x14ac:dyDescent="0.25">
      <c r="D30" s="62"/>
      <c r="E30" s="62"/>
      <c r="F30" s="62"/>
      <c r="G30" s="44">
        <v>2.5</v>
      </c>
      <c r="H30" s="44"/>
      <c r="I30" s="44">
        <f t="shared" si="3"/>
        <v>0</v>
      </c>
      <c r="J30" s="44">
        <f t="shared" si="4"/>
        <v>0</v>
      </c>
      <c r="K30" s="44" t="e">
        <f t="shared" si="5"/>
        <v>#DIV/0!</v>
      </c>
      <c r="L30" s="44">
        <f t="shared" si="0"/>
        <v>0</v>
      </c>
      <c r="M30" s="44">
        <f t="shared" si="1"/>
        <v>0</v>
      </c>
      <c r="N30" s="44">
        <f t="shared" si="6"/>
        <v>0</v>
      </c>
      <c r="O30" s="44">
        <f t="shared" si="7"/>
        <v>0</v>
      </c>
    </row>
    <row r="31" spans="4:15" hidden="1" outlineLevel="1" x14ac:dyDescent="0.25">
      <c r="D31" s="62"/>
      <c r="E31" s="62"/>
      <c r="F31" s="62"/>
      <c r="G31" s="44">
        <v>2.5</v>
      </c>
      <c r="H31" s="44"/>
      <c r="I31" s="44">
        <f t="shared" si="3"/>
        <v>0</v>
      </c>
      <c r="J31" s="44">
        <f t="shared" si="4"/>
        <v>0</v>
      </c>
      <c r="K31" s="44" t="e">
        <f t="shared" si="5"/>
        <v>#DIV/0!</v>
      </c>
      <c r="L31" s="44">
        <f t="shared" si="0"/>
        <v>0</v>
      </c>
      <c r="M31" s="44">
        <f t="shared" si="1"/>
        <v>0</v>
      </c>
      <c r="N31" s="44">
        <f t="shared" si="6"/>
        <v>0</v>
      </c>
      <c r="O31" s="44">
        <f t="shared" si="7"/>
        <v>0</v>
      </c>
    </row>
    <row r="32" spans="4:15" hidden="1" outlineLevel="1" x14ac:dyDescent="0.25">
      <c r="D32" s="62"/>
      <c r="E32" s="62"/>
      <c r="F32" s="62"/>
      <c r="G32" s="44">
        <v>2.5</v>
      </c>
      <c r="H32" s="44"/>
      <c r="I32" s="44">
        <f t="shared" si="3"/>
        <v>0</v>
      </c>
      <c r="J32" s="44">
        <f t="shared" si="4"/>
        <v>0</v>
      </c>
      <c r="K32" s="44" t="e">
        <f t="shared" si="5"/>
        <v>#DIV/0!</v>
      </c>
      <c r="L32" s="44">
        <f t="shared" si="0"/>
        <v>0</v>
      </c>
      <c r="M32" s="44">
        <f t="shared" si="1"/>
        <v>0</v>
      </c>
      <c r="N32" s="44">
        <f t="shared" si="6"/>
        <v>0</v>
      </c>
      <c r="O32" s="44">
        <f t="shared" si="7"/>
        <v>0</v>
      </c>
    </row>
    <row r="33" spans="3:15" hidden="1" outlineLevel="1" x14ac:dyDescent="0.25">
      <c r="D33" s="62"/>
      <c r="E33" s="62"/>
      <c r="F33" s="62"/>
      <c r="G33" s="44">
        <v>2.5</v>
      </c>
      <c r="H33" s="44"/>
      <c r="I33" s="44">
        <f t="shared" si="3"/>
        <v>0</v>
      </c>
      <c r="J33" s="44">
        <f t="shared" si="4"/>
        <v>0</v>
      </c>
      <c r="K33" s="44" t="e">
        <f t="shared" si="5"/>
        <v>#DIV/0!</v>
      </c>
      <c r="L33" s="44">
        <f t="shared" si="0"/>
        <v>0</v>
      </c>
      <c r="M33" s="44">
        <f t="shared" si="1"/>
        <v>0</v>
      </c>
      <c r="N33" s="44">
        <f t="shared" si="6"/>
        <v>0</v>
      </c>
      <c r="O33" s="44">
        <f t="shared" si="7"/>
        <v>0</v>
      </c>
    </row>
    <row r="34" spans="3:15" hidden="1" outlineLevel="1" x14ac:dyDescent="0.25">
      <c r="D34" s="62"/>
      <c r="E34" s="62"/>
      <c r="F34" s="62"/>
      <c r="G34" s="44">
        <v>2.5</v>
      </c>
      <c r="H34" s="44"/>
      <c r="I34" s="44">
        <f t="shared" si="3"/>
        <v>0</v>
      </c>
      <c r="J34" s="44">
        <f t="shared" si="4"/>
        <v>0</v>
      </c>
      <c r="K34" s="44" t="e">
        <f t="shared" si="5"/>
        <v>#DIV/0!</v>
      </c>
      <c r="L34" s="44">
        <f t="shared" si="0"/>
        <v>0</v>
      </c>
      <c r="M34" s="44">
        <f t="shared" si="1"/>
        <v>0</v>
      </c>
      <c r="N34" s="44">
        <f t="shared" si="6"/>
        <v>0</v>
      </c>
      <c r="O34" s="44">
        <f t="shared" si="7"/>
        <v>0</v>
      </c>
    </row>
    <row r="35" spans="3:15" hidden="1" outlineLevel="1" x14ac:dyDescent="0.25">
      <c r="D35" s="62"/>
      <c r="E35" s="62"/>
      <c r="F35" s="62"/>
      <c r="G35" s="44">
        <v>2.5</v>
      </c>
      <c r="H35" s="44"/>
      <c r="I35" s="44">
        <f t="shared" si="3"/>
        <v>0</v>
      </c>
      <c r="J35" s="44">
        <f t="shared" si="4"/>
        <v>0</v>
      </c>
      <c r="K35" s="44" t="e">
        <f t="shared" si="5"/>
        <v>#DIV/0!</v>
      </c>
      <c r="L35" s="44">
        <f t="shared" si="0"/>
        <v>0</v>
      </c>
      <c r="M35" s="44">
        <f t="shared" si="1"/>
        <v>0</v>
      </c>
      <c r="N35" s="44">
        <f t="shared" si="6"/>
        <v>0</v>
      </c>
      <c r="O35" s="44">
        <f t="shared" si="7"/>
        <v>0</v>
      </c>
    </row>
    <row r="36" spans="3:15" hidden="1" outlineLevel="1" x14ac:dyDescent="0.25">
      <c r="D36" s="62"/>
      <c r="E36" s="62"/>
      <c r="F36" s="62"/>
      <c r="G36" s="44">
        <v>2.5</v>
      </c>
      <c r="H36" s="44"/>
      <c r="I36" s="44">
        <f t="shared" si="3"/>
        <v>0</v>
      </c>
      <c r="J36" s="44">
        <f t="shared" si="4"/>
        <v>0</v>
      </c>
      <c r="K36" s="44" t="e">
        <f t="shared" si="5"/>
        <v>#DIV/0!</v>
      </c>
      <c r="L36" s="44">
        <f t="shared" si="0"/>
        <v>0</v>
      </c>
      <c r="M36" s="44">
        <f t="shared" si="1"/>
        <v>0</v>
      </c>
      <c r="N36" s="44">
        <f t="shared" si="6"/>
        <v>0</v>
      </c>
      <c r="O36" s="44">
        <f t="shared" si="7"/>
        <v>0</v>
      </c>
    </row>
    <row r="37" spans="3:15" hidden="1" outlineLevel="1" x14ac:dyDescent="0.25">
      <c r="D37" s="62"/>
      <c r="E37" s="62"/>
      <c r="F37" s="62"/>
      <c r="G37" s="44">
        <v>2.5</v>
      </c>
      <c r="H37" s="44"/>
      <c r="I37" s="44">
        <f t="shared" si="3"/>
        <v>0</v>
      </c>
      <c r="J37" s="44">
        <f t="shared" si="4"/>
        <v>0</v>
      </c>
      <c r="K37" s="44" t="e">
        <f t="shared" si="5"/>
        <v>#DIV/0!</v>
      </c>
      <c r="L37" s="44">
        <f t="shared" si="0"/>
        <v>0</v>
      </c>
      <c r="M37" s="44">
        <f t="shared" si="1"/>
        <v>0</v>
      </c>
      <c r="N37" s="44">
        <f t="shared" si="6"/>
        <v>0</v>
      </c>
      <c r="O37" s="44">
        <f t="shared" si="7"/>
        <v>0</v>
      </c>
    </row>
    <row r="38" spans="3:15" hidden="1" outlineLevel="1" x14ac:dyDescent="0.25">
      <c r="D38" s="62"/>
      <c r="E38" s="62"/>
      <c r="F38" s="62"/>
      <c r="G38" s="44">
        <v>2.5</v>
      </c>
      <c r="H38" s="44"/>
      <c r="I38" s="44">
        <f t="shared" si="3"/>
        <v>0</v>
      </c>
      <c r="J38" s="44">
        <f t="shared" si="4"/>
        <v>0</v>
      </c>
      <c r="K38" s="44" t="e">
        <f t="shared" si="5"/>
        <v>#DIV/0!</v>
      </c>
      <c r="L38" s="44">
        <f t="shared" si="0"/>
        <v>0</v>
      </c>
      <c r="M38" s="44">
        <f t="shared" si="1"/>
        <v>0</v>
      </c>
      <c r="N38" s="44">
        <f t="shared" si="6"/>
        <v>0</v>
      </c>
      <c r="O38" s="44">
        <f t="shared" si="7"/>
        <v>0</v>
      </c>
    </row>
    <row r="39" spans="3:15" hidden="1" outlineLevel="1" x14ac:dyDescent="0.25">
      <c r="D39" s="63" t="s">
        <v>27</v>
      </c>
      <c r="E39" s="63"/>
      <c r="F39" s="64">
        <f>SUM(F20:F38)</f>
        <v>150</v>
      </c>
      <c r="G39" s="44"/>
      <c r="H39" s="44"/>
      <c r="I39" s="64">
        <f>SUM(I20:I38)</f>
        <v>137.5</v>
      </c>
      <c r="J39" s="64">
        <f>SUM(J20:J38)</f>
        <v>130</v>
      </c>
      <c r="K39" s="44"/>
      <c r="L39" s="64">
        <f>SUM(L20:L38)</f>
        <v>137.5</v>
      </c>
      <c r="M39" s="64" t="e">
        <f>SUM(M20:M38)</f>
        <v>#DIV/0!</v>
      </c>
      <c r="N39" s="64">
        <f>SUM(N20:N38)</f>
        <v>7</v>
      </c>
      <c r="O39" s="64" t="e">
        <f>SUM(O20:O38)</f>
        <v>#DIV/0!</v>
      </c>
    </row>
    <row r="40" spans="3:15" hidden="1" outlineLevel="1" x14ac:dyDescent="0.25">
      <c r="D40" s="44"/>
      <c r="E40" s="44"/>
      <c r="F40" s="44"/>
      <c r="G40" s="44"/>
      <c r="H40" s="44"/>
      <c r="I40" s="268" t="str">
        <f>IF(I39=J39," YES","NO")</f>
        <v>NO</v>
      </c>
      <c r="J40" s="268"/>
      <c r="K40" s="44"/>
      <c r="L40" s="268" t="e">
        <f>IF(L39=M39," YES","NO")</f>
        <v>#DIV/0!</v>
      </c>
      <c r="M40" s="268"/>
      <c r="N40" s="44"/>
      <c r="O40" s="44"/>
    </row>
    <row r="41" spans="3:15" hidden="1" outlineLevel="1" x14ac:dyDescent="0.25"/>
    <row r="42" spans="3:15" hidden="1" outlineLevel="1" x14ac:dyDescent="0.25"/>
    <row r="43" spans="3:15" collapsed="1" x14ac:dyDescent="0.25"/>
    <row r="45" spans="3:15" x14ac:dyDescent="0.25">
      <c r="D45" s="265" t="s">
        <v>272</v>
      </c>
      <c r="E45" s="266"/>
    </row>
    <row r="46" spans="3:15" x14ac:dyDescent="0.25">
      <c r="C46" s="136" t="s">
        <v>391</v>
      </c>
      <c r="D46" s="3" t="s">
        <v>1</v>
      </c>
      <c r="E46" s="4">
        <v>1</v>
      </c>
    </row>
    <row r="47" spans="3:15" x14ac:dyDescent="0.25">
      <c r="C47" s="232" t="s">
        <v>274</v>
      </c>
      <c r="D47" s="3" t="s">
        <v>45</v>
      </c>
      <c r="E47" s="4">
        <v>1</v>
      </c>
    </row>
    <row r="48" spans="3:15" x14ac:dyDescent="0.25">
      <c r="C48" s="234"/>
      <c r="D48" s="3" t="s">
        <v>1</v>
      </c>
      <c r="E48" s="4">
        <v>1</v>
      </c>
    </row>
    <row r="49" spans="3:5" x14ac:dyDescent="0.25">
      <c r="C49" s="226" t="s">
        <v>11</v>
      </c>
      <c r="D49" s="3" t="s">
        <v>13</v>
      </c>
      <c r="E49" s="4">
        <v>1</v>
      </c>
    </row>
    <row r="50" spans="3:5" x14ac:dyDescent="0.25">
      <c r="C50" s="226"/>
      <c r="D50" s="4" t="s">
        <v>282</v>
      </c>
      <c r="E50" s="4">
        <v>2</v>
      </c>
    </row>
    <row r="51" spans="3:5" x14ac:dyDescent="0.25">
      <c r="C51" s="226" t="s">
        <v>275</v>
      </c>
      <c r="D51" s="3" t="s">
        <v>13</v>
      </c>
      <c r="E51" s="4">
        <v>1</v>
      </c>
    </row>
    <row r="52" spans="3:5" x14ac:dyDescent="0.25">
      <c r="C52" s="226"/>
      <c r="D52" s="4" t="s">
        <v>282</v>
      </c>
      <c r="E52" s="4">
        <v>2</v>
      </c>
    </row>
    <row r="53" spans="3:5" x14ac:dyDescent="0.25">
      <c r="C53" s="7" t="s">
        <v>14</v>
      </c>
      <c r="D53" s="3"/>
      <c r="E53" s="3"/>
    </row>
    <row r="54" spans="3:5" x14ac:dyDescent="0.25">
      <c r="C54" s="136" t="s">
        <v>125</v>
      </c>
      <c r="D54" s="3" t="s">
        <v>281</v>
      </c>
      <c r="E54" s="2" t="e">
        <f>INDEX(B100:B117,MATCH("YES",I100:I117,0))</f>
        <v>#N/A</v>
      </c>
    </row>
    <row r="55" spans="3:5" x14ac:dyDescent="0.25">
      <c r="C55" s="121" t="s">
        <v>276</v>
      </c>
      <c r="D55" s="3" t="s">
        <v>1</v>
      </c>
      <c r="E55" s="3">
        <v>2</v>
      </c>
    </row>
    <row r="56" spans="3:5" x14ac:dyDescent="0.25">
      <c r="C56" s="7" t="s">
        <v>12</v>
      </c>
      <c r="D56" s="3"/>
      <c r="E56" s="3"/>
    </row>
    <row r="57" spans="3:5" x14ac:dyDescent="0.25">
      <c r="C57" s="226" t="s">
        <v>10</v>
      </c>
      <c r="D57" s="4" t="s">
        <v>279</v>
      </c>
      <c r="E57" s="2">
        <f>ROUNDUP(50*E7/40,0)</f>
        <v>0</v>
      </c>
    </row>
    <row r="58" spans="3:5" x14ac:dyDescent="0.25">
      <c r="C58" s="226"/>
      <c r="D58" s="4" t="s">
        <v>280</v>
      </c>
      <c r="E58" s="2">
        <f>ROUNDUP(E57/50,0)</f>
        <v>0</v>
      </c>
    </row>
    <row r="59" spans="3:5" x14ac:dyDescent="0.25">
      <c r="C59" s="121" t="s">
        <v>277</v>
      </c>
      <c r="D59" s="3" t="s">
        <v>1</v>
      </c>
      <c r="E59" s="2">
        <f>ROUND(E6/30,0)</f>
        <v>0</v>
      </c>
    </row>
    <row r="60" spans="3:5" x14ac:dyDescent="0.25">
      <c r="C60" s="121" t="s">
        <v>278</v>
      </c>
      <c r="D60" s="3" t="s">
        <v>1</v>
      </c>
      <c r="E60" s="6">
        <f>E59</f>
        <v>0</v>
      </c>
    </row>
    <row r="66" spans="2:5" x14ac:dyDescent="0.25">
      <c r="D66" s="1"/>
      <c r="E66" s="1"/>
    </row>
    <row r="68" spans="2:5" x14ac:dyDescent="0.25">
      <c r="D68" s="220" t="s">
        <v>273</v>
      </c>
      <c r="E68" s="222"/>
    </row>
    <row r="69" spans="2:5" x14ac:dyDescent="0.25">
      <c r="C69" s="5" t="s">
        <v>284</v>
      </c>
      <c r="D69" s="5" t="s">
        <v>449</v>
      </c>
      <c r="E69" s="5" t="s">
        <v>283</v>
      </c>
    </row>
    <row r="70" spans="2:5" x14ac:dyDescent="0.25">
      <c r="B70" s="118" t="s">
        <v>285</v>
      </c>
      <c r="C70">
        <v>30</v>
      </c>
      <c r="D70" s="122">
        <f>IF(Inputs!D72&lt;&gt;0,Inputs!D72,C70)</f>
        <v>30</v>
      </c>
      <c r="E70" s="8">
        <f>E48*D70</f>
        <v>30</v>
      </c>
    </row>
    <row r="71" spans="2:5" x14ac:dyDescent="0.25">
      <c r="B71" s="118" t="s">
        <v>286</v>
      </c>
      <c r="C71" s="72">
        <v>5</v>
      </c>
      <c r="D71" s="72">
        <f>IF(Inputs!D73&lt;&gt;0,Inputs!D73,C71)</f>
        <v>5</v>
      </c>
      <c r="E71" s="8">
        <f>E50*D71</f>
        <v>10</v>
      </c>
    </row>
    <row r="72" spans="2:5" x14ac:dyDescent="0.25">
      <c r="B72" s="118" t="s">
        <v>275</v>
      </c>
      <c r="C72" s="72">
        <v>100</v>
      </c>
      <c r="D72" s="122">
        <f>IF(Inputs!D74&lt;&gt;0,Inputs!D74,C72)</f>
        <v>100</v>
      </c>
      <c r="E72" s="8">
        <f>2*D72</f>
        <v>200</v>
      </c>
    </row>
    <row r="73" spans="2:5" x14ac:dyDescent="0.25">
      <c r="B73" s="118" t="s">
        <v>12</v>
      </c>
      <c r="C73" s="72"/>
      <c r="D73" s="122">
        <f>IF(Inputs!D75&lt;&gt;0,Inputs!D75,C73)</f>
        <v>0</v>
      </c>
      <c r="E73" s="8"/>
    </row>
    <row r="74" spans="2:5" x14ac:dyDescent="0.25">
      <c r="B74" s="136" t="s">
        <v>125</v>
      </c>
      <c r="C74" s="72" t="e">
        <f>INDEX(F100:F117,MATCH(E54,B100:B117,0))</f>
        <v>#N/A</v>
      </c>
      <c r="D74" s="72" t="e">
        <f>IF(Inputs!D76&lt;&gt;0,Inputs!D76,C74)</f>
        <v>#N/A</v>
      </c>
      <c r="E74" s="8" t="e">
        <f>D74</f>
        <v>#N/A</v>
      </c>
    </row>
    <row r="75" spans="2:5" x14ac:dyDescent="0.25">
      <c r="B75" s="121" t="s">
        <v>276</v>
      </c>
      <c r="C75" s="72">
        <v>150</v>
      </c>
      <c r="D75" s="122">
        <f>IF(Inputs!D77&lt;&gt;0,Inputs!D77,C75)</f>
        <v>150</v>
      </c>
      <c r="E75" s="8">
        <f>2*D75</f>
        <v>300</v>
      </c>
    </row>
    <row r="76" spans="2:5" x14ac:dyDescent="0.25">
      <c r="B76" s="118" t="s">
        <v>287</v>
      </c>
      <c r="C76" s="72">
        <v>230</v>
      </c>
      <c r="D76" s="122">
        <f>IF(Inputs!D78&lt;&gt;0,Inputs!D78,C76)</f>
        <v>230</v>
      </c>
      <c r="E76" s="8">
        <f>E58*D76</f>
        <v>0</v>
      </c>
    </row>
    <row r="77" spans="2:5" x14ac:dyDescent="0.25">
      <c r="B77" s="121" t="s">
        <v>277</v>
      </c>
      <c r="C77" s="72">
        <v>25</v>
      </c>
      <c r="D77" s="122">
        <f>IF(Inputs!D79&lt;&gt;0,Inputs!D79,C77)</f>
        <v>25</v>
      </c>
      <c r="E77" s="8">
        <f>E59*D77</f>
        <v>0</v>
      </c>
    </row>
    <row r="78" spans="2:5" x14ac:dyDescent="0.25">
      <c r="B78" s="121" t="s">
        <v>278</v>
      </c>
      <c r="C78" s="72">
        <v>25</v>
      </c>
      <c r="D78" s="122">
        <f>IF(Inputs!D80&lt;&gt;0,Inputs!D80,C78)</f>
        <v>25</v>
      </c>
      <c r="E78" s="8">
        <f>E60*D78</f>
        <v>0</v>
      </c>
    </row>
    <row r="79" spans="2:5" x14ac:dyDescent="0.25">
      <c r="C79" s="267" t="s">
        <v>49</v>
      </c>
      <c r="D79" s="267"/>
      <c r="E79" s="67" t="e">
        <f>SUM(E70:E78)</f>
        <v>#N/A</v>
      </c>
    </row>
    <row r="96" spans="2:6" x14ac:dyDescent="0.25">
      <c r="B96" s="264" t="s">
        <v>288</v>
      </c>
      <c r="C96" s="264"/>
      <c r="D96" s="264"/>
      <c r="E96" s="264"/>
      <c r="F96" s="264"/>
    </row>
    <row r="97" spans="2:9" x14ac:dyDescent="0.25">
      <c r="I97" s="15"/>
    </row>
    <row r="98" spans="2:9" x14ac:dyDescent="0.25">
      <c r="B98" s="151" t="s">
        <v>289</v>
      </c>
      <c r="C98" s="151" t="s">
        <v>292</v>
      </c>
      <c r="D98" s="151" t="s">
        <v>290</v>
      </c>
      <c r="E98" s="151" t="s">
        <v>291</v>
      </c>
      <c r="F98" s="151" t="s">
        <v>189</v>
      </c>
      <c r="I98" s="15"/>
    </row>
    <row r="99" spans="2:9" x14ac:dyDescent="0.25">
      <c r="B99" s="9"/>
      <c r="C99" s="3"/>
      <c r="D99" s="3"/>
      <c r="E99" s="3"/>
      <c r="F99" s="3"/>
      <c r="I99" s="15"/>
    </row>
    <row r="100" spans="2:9" x14ac:dyDescent="0.25">
      <c r="B100" s="11" t="s">
        <v>35</v>
      </c>
      <c r="C100" s="12">
        <v>0.85</v>
      </c>
      <c r="D100" s="13">
        <v>25</v>
      </c>
      <c r="E100" s="13">
        <v>126</v>
      </c>
      <c r="F100" s="57">
        <v>1300</v>
      </c>
      <c r="H100" t="str">
        <f>IF(AND($E$6&gt;D100,$E$6&lt;E100),F100,"NO")</f>
        <v>NO</v>
      </c>
      <c r="I100" s="15" t="str">
        <f t="shared" ref="I100:I117" si="8">IF(AND($E$6&gt;D100,$E$6&lt;E100,F100=MIN($H$100:$H$117)),"YES","NO")</f>
        <v>NO</v>
      </c>
    </row>
    <row r="101" spans="2:9" x14ac:dyDescent="0.25">
      <c r="B101" s="11" t="s">
        <v>36</v>
      </c>
      <c r="C101" s="12">
        <v>0.88</v>
      </c>
      <c r="D101" s="13">
        <v>45</v>
      </c>
      <c r="E101" s="13">
        <v>152</v>
      </c>
      <c r="F101" s="57">
        <v>1450</v>
      </c>
      <c r="H101" t="str">
        <f t="shared" ref="H101:H116" si="9">IF(AND($E$6&gt;D101,$E$6&lt;E101),F101,"NO")</f>
        <v>NO</v>
      </c>
      <c r="I101" s="15" t="str">
        <f t="shared" si="8"/>
        <v>NO</v>
      </c>
    </row>
    <row r="102" spans="2:9" x14ac:dyDescent="0.25">
      <c r="B102" s="11" t="s">
        <v>37</v>
      </c>
      <c r="C102" s="12">
        <v>0.88</v>
      </c>
      <c r="D102" s="13">
        <v>54</v>
      </c>
      <c r="E102" s="13">
        <v>222</v>
      </c>
      <c r="F102" s="57">
        <v>1690</v>
      </c>
      <c r="H102" t="str">
        <f t="shared" si="9"/>
        <v>NO</v>
      </c>
      <c r="I102" s="15" t="str">
        <f t="shared" si="8"/>
        <v>NO</v>
      </c>
    </row>
    <row r="103" spans="2:9" x14ac:dyDescent="0.25">
      <c r="F103" s="56"/>
      <c r="H103" t="str">
        <f t="shared" si="9"/>
        <v>NO</v>
      </c>
      <c r="I103" s="15" t="str">
        <f t="shared" si="8"/>
        <v>NO</v>
      </c>
    </row>
    <row r="104" spans="2:9" x14ac:dyDescent="0.25">
      <c r="F104" s="56"/>
      <c r="H104" t="str">
        <f t="shared" si="9"/>
        <v>NO</v>
      </c>
      <c r="I104" s="15" t="str">
        <f t="shared" si="8"/>
        <v>NO</v>
      </c>
    </row>
    <row r="105" spans="2:9" x14ac:dyDescent="0.25">
      <c r="B105" s="11" t="s">
        <v>38</v>
      </c>
      <c r="C105" s="12">
        <v>0.86</v>
      </c>
      <c r="D105" s="13">
        <v>80</v>
      </c>
      <c r="E105" s="13">
        <v>111</v>
      </c>
      <c r="F105" s="57">
        <v>2100</v>
      </c>
      <c r="H105" t="str">
        <f t="shared" si="9"/>
        <v>NO</v>
      </c>
      <c r="I105" s="15" t="str">
        <f t="shared" si="8"/>
        <v>NO</v>
      </c>
    </row>
    <row r="106" spans="2:9" x14ac:dyDescent="0.25">
      <c r="F106" s="56"/>
      <c r="H106" t="str">
        <f t="shared" si="9"/>
        <v>NO</v>
      </c>
      <c r="I106" s="15" t="str">
        <f t="shared" si="8"/>
        <v>NO</v>
      </c>
    </row>
    <row r="107" spans="2:9" x14ac:dyDescent="0.25">
      <c r="F107" s="56"/>
      <c r="H107" t="str">
        <f t="shared" si="9"/>
        <v>NO</v>
      </c>
      <c r="I107" s="15" t="str">
        <f t="shared" si="8"/>
        <v>NO</v>
      </c>
    </row>
    <row r="108" spans="2:9" x14ac:dyDescent="0.25">
      <c r="F108" s="56"/>
      <c r="H108" t="str">
        <f t="shared" si="9"/>
        <v>NO</v>
      </c>
      <c r="I108" s="15" t="str">
        <f t="shared" si="8"/>
        <v>NO</v>
      </c>
    </row>
    <row r="109" spans="2:9" x14ac:dyDescent="0.25">
      <c r="B109" s="11" t="s">
        <v>39</v>
      </c>
      <c r="C109" s="12">
        <v>0.84</v>
      </c>
      <c r="D109" s="13">
        <v>59</v>
      </c>
      <c r="E109" s="13">
        <v>235</v>
      </c>
      <c r="F109" s="57">
        <v>2500</v>
      </c>
      <c r="H109" t="str">
        <f t="shared" si="9"/>
        <v>NO</v>
      </c>
      <c r="I109" s="15" t="str">
        <f t="shared" si="8"/>
        <v>NO</v>
      </c>
    </row>
    <row r="110" spans="2:9" x14ac:dyDescent="0.25">
      <c r="B110" s="11" t="s">
        <v>40</v>
      </c>
      <c r="C110" s="12">
        <v>0.83</v>
      </c>
      <c r="D110" s="13">
        <v>90</v>
      </c>
      <c r="E110" s="13">
        <v>305</v>
      </c>
      <c r="F110" s="57">
        <v>2700</v>
      </c>
      <c r="H110" t="str">
        <f t="shared" si="9"/>
        <v>NO</v>
      </c>
      <c r="I110" s="15" t="str">
        <f t="shared" si="8"/>
        <v>NO</v>
      </c>
    </row>
    <row r="111" spans="2:9" x14ac:dyDescent="0.25">
      <c r="B111" s="11" t="s">
        <v>41</v>
      </c>
      <c r="C111" s="12">
        <v>0.84</v>
      </c>
      <c r="D111" s="13">
        <v>77</v>
      </c>
      <c r="E111" s="13">
        <v>290</v>
      </c>
      <c r="F111" s="57">
        <v>2700</v>
      </c>
      <c r="H111" t="str">
        <f t="shared" si="9"/>
        <v>NO</v>
      </c>
      <c r="I111" s="15" t="str">
        <f t="shared" si="8"/>
        <v>NO</v>
      </c>
    </row>
    <row r="112" spans="2:9" x14ac:dyDescent="0.25">
      <c r="B112" s="11" t="s">
        <v>42</v>
      </c>
      <c r="C112" s="12">
        <v>0.84</v>
      </c>
      <c r="D112" s="13">
        <v>71</v>
      </c>
      <c r="E112" s="13">
        <v>100</v>
      </c>
      <c r="F112" s="57">
        <v>1700</v>
      </c>
      <c r="H112" t="str">
        <f t="shared" si="9"/>
        <v>NO</v>
      </c>
      <c r="I112" s="15" t="str">
        <f t="shared" si="8"/>
        <v>NO</v>
      </c>
    </row>
    <row r="113" spans="2:9" x14ac:dyDescent="0.25">
      <c r="B113" s="11" t="s">
        <v>43</v>
      </c>
      <c r="C113" s="12">
        <v>0.85</v>
      </c>
      <c r="D113" s="13">
        <v>66</v>
      </c>
      <c r="E113" s="13">
        <v>226</v>
      </c>
      <c r="F113" s="57">
        <v>1900</v>
      </c>
      <c r="H113" t="str">
        <f t="shared" si="9"/>
        <v>NO</v>
      </c>
      <c r="I113" s="15" t="str">
        <f t="shared" si="8"/>
        <v>NO</v>
      </c>
    </row>
    <row r="114" spans="2:9" x14ac:dyDescent="0.25">
      <c r="B114" s="11" t="s">
        <v>44</v>
      </c>
      <c r="C114" s="12">
        <v>0.84</v>
      </c>
      <c r="D114" s="13">
        <v>71</v>
      </c>
      <c r="E114" s="13">
        <v>228</v>
      </c>
      <c r="F114" s="57">
        <v>2700</v>
      </c>
      <c r="H114" t="str">
        <f t="shared" si="9"/>
        <v>NO</v>
      </c>
      <c r="I114" s="15" t="str">
        <f t="shared" si="8"/>
        <v>NO</v>
      </c>
    </row>
    <row r="115" spans="2:9" x14ac:dyDescent="0.25">
      <c r="F115" s="16"/>
      <c r="H115" t="str">
        <f t="shared" si="9"/>
        <v>NO</v>
      </c>
      <c r="I115" s="15" t="str">
        <f t="shared" si="8"/>
        <v>NO</v>
      </c>
    </row>
    <row r="116" spans="2:9" x14ac:dyDescent="0.25">
      <c r="B116" s="3" t="s">
        <v>72</v>
      </c>
      <c r="C116" s="102">
        <v>0.98</v>
      </c>
      <c r="D116" s="103">
        <v>50</v>
      </c>
      <c r="E116" s="103">
        <v>225</v>
      </c>
      <c r="F116" s="57">
        <v>1949</v>
      </c>
      <c r="H116" t="str">
        <f t="shared" si="9"/>
        <v>NO</v>
      </c>
      <c r="I116" s="15" t="str">
        <f t="shared" si="8"/>
        <v>NO</v>
      </c>
    </row>
    <row r="117" spans="2:9" x14ac:dyDescent="0.25">
      <c r="B117" s="3" t="s">
        <v>73</v>
      </c>
      <c r="C117" s="3"/>
      <c r="D117" s="103">
        <v>75</v>
      </c>
      <c r="E117" s="103">
        <v>200</v>
      </c>
      <c r="F117" s="57">
        <v>1120</v>
      </c>
      <c r="H117" t="str">
        <f>IF(AND($E$6&gt;D117,$E$6&lt;E117),F117,"NO")</f>
        <v>NO</v>
      </c>
      <c r="I117" s="15" t="str">
        <f t="shared" si="8"/>
        <v>NO</v>
      </c>
    </row>
    <row r="118" spans="2:9" x14ac:dyDescent="0.25">
      <c r="I118" s="15"/>
    </row>
  </sheetData>
  <sheetProtection sheet="1" objects="1" scenarios="1"/>
  <mergeCells count="13">
    <mergeCell ref="I40:J40"/>
    <mergeCell ref="L40:M40"/>
    <mergeCell ref="D18:E18"/>
    <mergeCell ref="N17:N19"/>
    <mergeCell ref="O17:O19"/>
    <mergeCell ref="B96:F96"/>
    <mergeCell ref="D45:E45"/>
    <mergeCell ref="C57:C58"/>
    <mergeCell ref="C49:C50"/>
    <mergeCell ref="C51:C52"/>
    <mergeCell ref="C47:C48"/>
    <mergeCell ref="C79:D79"/>
    <mergeCell ref="D68:E68"/>
  </mergeCells>
  <dataValidations count="1">
    <dataValidation type="list" allowBlank="1" showInputMessage="1" showErrorMessage="1" sqref="E20:E38">
      <formula1>"1, 2"</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3:L34"/>
  <sheetViews>
    <sheetView workbookViewId="0">
      <selection activeCell="D32" sqref="D32"/>
    </sheetView>
  </sheetViews>
  <sheetFormatPr baseColWidth="10" defaultColWidth="9.140625" defaultRowHeight="15" x14ac:dyDescent="0.25"/>
  <cols>
    <col min="2" max="2" width="50.7109375" customWidth="1"/>
    <col min="3" max="3" width="10.7109375" bestFit="1" customWidth="1"/>
    <col min="4" max="4" width="17.28515625" bestFit="1" customWidth="1"/>
  </cols>
  <sheetData>
    <row r="3" spans="2:12" x14ac:dyDescent="0.25">
      <c r="B3" s="3" t="s">
        <v>301</v>
      </c>
      <c r="C3" s="2">
        <f>2*1.5*Inputs!D12+Inputs!D13*(1.5*2)</f>
        <v>0</v>
      </c>
    </row>
    <row r="6" spans="2:12" x14ac:dyDescent="0.25">
      <c r="B6" s="249" t="s">
        <v>46</v>
      </c>
      <c r="C6" s="249"/>
    </row>
    <row r="7" spans="2:12" x14ac:dyDescent="0.25">
      <c r="B7" s="89" t="s">
        <v>302</v>
      </c>
      <c r="C7" s="4">
        <f>Inputs!D87</f>
        <v>0</v>
      </c>
    </row>
    <row r="8" spans="2:12" x14ac:dyDescent="0.25">
      <c r="B8" s="3" t="s">
        <v>303</v>
      </c>
      <c r="C8" s="107">
        <v>5</v>
      </c>
    </row>
    <row r="9" spans="2:12" x14ac:dyDescent="0.25">
      <c r="B9" s="3" t="s">
        <v>304</v>
      </c>
      <c r="C9" s="2">
        <f>IF(C7&lt;&gt;0,C7*C3,C8*C3)</f>
        <v>0</v>
      </c>
    </row>
    <row r="14" spans="2:12" x14ac:dyDescent="0.25">
      <c r="B14" s="249" t="s">
        <v>381</v>
      </c>
      <c r="C14" s="249"/>
      <c r="L14" s="15"/>
    </row>
    <row r="16" spans="2:12" x14ac:dyDescent="0.25">
      <c r="B16" s="223" t="s">
        <v>66</v>
      </c>
      <c r="C16" s="223"/>
    </row>
    <row r="17" spans="2:4" x14ac:dyDescent="0.25">
      <c r="B17" s="132" t="s">
        <v>305</v>
      </c>
      <c r="C17" s="2">
        <f>C3+0.05*C3</f>
        <v>0</v>
      </c>
    </row>
    <row r="18" spans="2:4" x14ac:dyDescent="0.25">
      <c r="B18" s="132" t="s">
        <v>306</v>
      </c>
      <c r="C18" s="4">
        <f>Inputs!D88</f>
        <v>0</v>
      </c>
    </row>
    <row r="19" spans="2:4" x14ac:dyDescent="0.25">
      <c r="B19" s="132" t="s">
        <v>307</v>
      </c>
      <c r="C19" s="107">
        <v>5</v>
      </c>
    </row>
    <row r="20" spans="2:4" x14ac:dyDescent="0.25">
      <c r="B20" s="3" t="s">
        <v>304</v>
      </c>
      <c r="C20" s="8">
        <f>IF(C18&lt;&gt;0,C18*C17,C19*C17)</f>
        <v>0</v>
      </c>
    </row>
    <row r="22" spans="2:4" x14ac:dyDescent="0.25">
      <c r="B22" s="220" t="s">
        <v>438</v>
      </c>
      <c r="C22" s="222"/>
    </row>
    <row r="23" spans="2:4" x14ac:dyDescent="0.25">
      <c r="B23" s="131" t="s">
        <v>310</v>
      </c>
      <c r="C23" s="2">
        <f>IF(OR(Inputs!D20=2,Inputs!D20=3,Inputs!D21=2,Inputs!D21=3),Inputs!K23,0)</f>
        <v>0</v>
      </c>
    </row>
    <row r="24" spans="2:4" x14ac:dyDescent="0.25">
      <c r="B24" s="132" t="s">
        <v>308</v>
      </c>
      <c r="C24" s="4">
        <f>Inputs!D89</f>
        <v>0</v>
      </c>
    </row>
    <row r="25" spans="2:4" x14ac:dyDescent="0.25">
      <c r="B25" s="132" t="s">
        <v>309</v>
      </c>
      <c r="C25" s="107">
        <v>10</v>
      </c>
    </row>
    <row r="26" spans="2:4" x14ac:dyDescent="0.25">
      <c r="B26" s="3" t="s">
        <v>304</v>
      </c>
      <c r="C26" s="8">
        <f>IF(C24&lt;&gt;0,C24*C23,C25*C23)</f>
        <v>0</v>
      </c>
    </row>
    <row r="27" spans="2:4" x14ac:dyDescent="0.25">
      <c r="B27" s="1"/>
    </row>
    <row r="28" spans="2:4" x14ac:dyDescent="0.25">
      <c r="B28" s="223" t="s">
        <v>67</v>
      </c>
      <c r="C28" s="223"/>
    </row>
    <row r="29" spans="2:4" x14ac:dyDescent="0.25">
      <c r="B29" s="4" t="s">
        <v>311</v>
      </c>
      <c r="C29" s="106">
        <f>Inputs!D90</f>
        <v>0</v>
      </c>
    </row>
    <row r="30" spans="2:4" x14ac:dyDescent="0.25">
      <c r="B30" s="4" t="s">
        <v>312</v>
      </c>
      <c r="C30" s="106">
        <v>0.5</v>
      </c>
    </row>
    <row r="31" spans="2:4" x14ac:dyDescent="0.25">
      <c r="B31" s="3" t="s">
        <v>304</v>
      </c>
      <c r="C31" s="2">
        <f>IF(C29&lt;&gt;0,C29*Inputs!D8,C30*Inputs!D8)</f>
        <v>0</v>
      </c>
    </row>
    <row r="32" spans="2:4" x14ac:dyDescent="0.25">
      <c r="B32" s="87" t="s">
        <v>425</v>
      </c>
      <c r="C32" s="150">
        <f>IF(C3=0,0,350)</f>
        <v>0</v>
      </c>
      <c r="D32" t="s">
        <v>426</v>
      </c>
    </row>
    <row r="33" spans="2:4" x14ac:dyDescent="0.25">
      <c r="B33" s="3" t="s">
        <v>313</v>
      </c>
      <c r="C33" s="68">
        <f>C9+C31+C32</f>
        <v>0</v>
      </c>
    </row>
    <row r="34" spans="2:4" x14ac:dyDescent="0.25">
      <c r="B34" s="3" t="s">
        <v>392</v>
      </c>
      <c r="C34" s="67">
        <f>C26+C20+C31+C32</f>
        <v>0</v>
      </c>
      <c r="D34" s="147"/>
    </row>
  </sheetData>
  <sheetProtection sheet="1" objects="1" scenarios="1" formatCells="0"/>
  <mergeCells count="5">
    <mergeCell ref="B6:C6"/>
    <mergeCell ref="B14:C14"/>
    <mergeCell ref="B22:C22"/>
    <mergeCell ref="B16:C16"/>
    <mergeCell ref="B28:C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2:O53"/>
  <sheetViews>
    <sheetView workbookViewId="0">
      <selection activeCell="C39" sqref="C39"/>
    </sheetView>
  </sheetViews>
  <sheetFormatPr baseColWidth="10" defaultColWidth="9.140625" defaultRowHeight="15" x14ac:dyDescent="0.25"/>
  <cols>
    <col min="1" max="1" width="9.85546875" customWidth="1"/>
    <col min="2" max="2" width="16.140625" customWidth="1"/>
    <col min="3" max="3" width="25.42578125" customWidth="1"/>
    <col min="4" max="4" width="22" customWidth="1"/>
    <col min="5" max="5" width="14.28515625" bestFit="1" customWidth="1"/>
    <col min="7" max="7" width="6.5703125" customWidth="1"/>
    <col min="8" max="8" width="25.5703125" customWidth="1"/>
    <col min="9" max="9" width="9.42578125" bestFit="1" customWidth="1"/>
    <col min="11" max="11" width="12.85546875" bestFit="1" customWidth="1"/>
  </cols>
  <sheetData>
    <row r="2" spans="2:15" x14ac:dyDescent="0.25">
      <c r="B2" s="220" t="s">
        <v>314</v>
      </c>
      <c r="C2" s="221"/>
      <c r="D2" s="221"/>
      <c r="E2" s="70">
        <f>Inputs!D8</f>
        <v>0</v>
      </c>
    </row>
    <row r="6" spans="2:15" x14ac:dyDescent="0.25">
      <c r="B6" s="249" t="s">
        <v>46</v>
      </c>
      <c r="C6" s="249"/>
      <c r="D6" s="249"/>
      <c r="E6" s="249"/>
      <c r="F6" s="249"/>
      <c r="G6" s="249"/>
      <c r="H6" s="249"/>
      <c r="I6" s="249"/>
      <c r="J6" s="249"/>
      <c r="K6" s="249"/>
      <c r="L6" s="249"/>
      <c r="M6" s="249"/>
      <c r="N6" s="249"/>
      <c r="O6" s="249"/>
    </row>
    <row r="7" spans="2:15" x14ac:dyDescent="0.25">
      <c r="E7" s="29"/>
      <c r="F7" s="29"/>
      <c r="G7" s="29"/>
      <c r="H7" s="29"/>
      <c r="I7" s="29"/>
      <c r="J7" s="29"/>
      <c r="K7" s="29"/>
      <c r="L7" s="29"/>
      <c r="M7" s="29"/>
      <c r="N7" s="29"/>
      <c r="O7" s="29"/>
    </row>
    <row r="8" spans="2:15" x14ac:dyDescent="0.25">
      <c r="B8" s="249" t="s">
        <v>315</v>
      </c>
      <c r="C8" s="249"/>
      <c r="D8" s="249"/>
      <c r="E8" s="249"/>
      <c r="H8" s="223" t="s">
        <v>320</v>
      </c>
      <c r="I8" s="223"/>
      <c r="J8" s="223"/>
    </row>
    <row r="9" spans="2:15" x14ac:dyDescent="0.25">
      <c r="B9" s="223" t="s">
        <v>318</v>
      </c>
      <c r="C9" s="223"/>
      <c r="D9" s="100">
        <f>8000/100</f>
        <v>80</v>
      </c>
      <c r="E9" s="283">
        <f>D9*$E$2+D10*$E$2+D11</f>
        <v>2000</v>
      </c>
      <c r="H9" s="284">
        <f>I32</f>
        <v>250</v>
      </c>
      <c r="I9" s="223"/>
      <c r="J9" s="223"/>
    </row>
    <row r="10" spans="2:15" x14ac:dyDescent="0.25">
      <c r="B10" s="223" t="s">
        <v>319</v>
      </c>
      <c r="C10" s="223"/>
      <c r="D10" s="100">
        <f>3000/100</f>
        <v>30</v>
      </c>
      <c r="E10" s="226"/>
      <c r="H10" s="17"/>
      <c r="I10" s="17"/>
      <c r="J10" s="17"/>
    </row>
    <row r="11" spans="2:15" x14ac:dyDescent="0.25">
      <c r="B11" s="223" t="s">
        <v>393</v>
      </c>
      <c r="C11" s="223"/>
      <c r="D11" s="100">
        <v>2000</v>
      </c>
      <c r="E11" s="226"/>
      <c r="H11" s="17"/>
      <c r="I11" s="17"/>
      <c r="J11" s="17"/>
    </row>
    <row r="12" spans="2:15" x14ac:dyDescent="0.25">
      <c r="B12" s="223" t="s">
        <v>316</v>
      </c>
      <c r="C12" s="223"/>
      <c r="D12" s="100">
        <f>Inputs!D97</f>
        <v>0</v>
      </c>
      <c r="E12" s="283">
        <f>D12*$E$2+D13*$E$2+D14</f>
        <v>0</v>
      </c>
      <c r="H12" s="17"/>
      <c r="I12" s="17"/>
      <c r="J12" s="17"/>
    </row>
    <row r="13" spans="2:15" x14ac:dyDescent="0.25">
      <c r="B13" s="223" t="s">
        <v>317</v>
      </c>
      <c r="C13" s="223"/>
      <c r="D13" s="100">
        <f>Inputs!D98</f>
        <v>0</v>
      </c>
      <c r="E13" s="226"/>
      <c r="H13" s="17"/>
      <c r="I13" s="82"/>
      <c r="J13" s="82"/>
    </row>
    <row r="14" spans="2:15" x14ac:dyDescent="0.25">
      <c r="B14" s="223" t="s">
        <v>394</v>
      </c>
      <c r="C14" s="223"/>
      <c r="D14" s="100">
        <f>Inputs!D99</f>
        <v>0</v>
      </c>
      <c r="E14" s="226"/>
      <c r="H14" s="17"/>
      <c r="I14" s="82"/>
      <c r="J14" s="82"/>
    </row>
    <row r="15" spans="2:15" x14ac:dyDescent="0.25">
      <c r="B15" s="223" t="s">
        <v>97</v>
      </c>
      <c r="C15" s="223"/>
      <c r="D15" s="100">
        <f>IF(E12&lt;&gt;0,E12,E9)</f>
        <v>2000</v>
      </c>
    </row>
    <row r="18" spans="2:15" x14ac:dyDescent="0.25">
      <c r="B18" s="3" t="s">
        <v>113</v>
      </c>
      <c r="C18" s="68">
        <f>IF(E2=0,0,D15+I32)</f>
        <v>0</v>
      </c>
    </row>
    <row r="24" spans="2:15" x14ac:dyDescent="0.25">
      <c r="B24" s="223" t="s">
        <v>395</v>
      </c>
      <c r="C24" s="223"/>
      <c r="D24" s="223"/>
      <c r="E24" s="223"/>
      <c r="F24" s="223"/>
      <c r="G24" s="223"/>
      <c r="H24" s="223"/>
      <c r="I24" s="223"/>
      <c r="J24" s="223"/>
      <c r="K24" s="223"/>
      <c r="L24" s="223"/>
      <c r="M24" s="223"/>
      <c r="N24" s="223"/>
      <c r="O24" s="223"/>
    </row>
    <row r="25" spans="2:15" x14ac:dyDescent="0.25">
      <c r="B25" s="17"/>
      <c r="C25" s="17"/>
      <c r="D25" s="17"/>
      <c r="E25" s="17"/>
      <c r="F25" s="17"/>
      <c r="G25" s="17"/>
      <c r="H25" s="17"/>
      <c r="I25" s="17"/>
      <c r="J25" s="17"/>
      <c r="K25" s="17"/>
      <c r="L25" s="17"/>
      <c r="M25" s="17"/>
      <c r="N25" s="17"/>
      <c r="O25" s="17"/>
    </row>
    <row r="26" spans="2:15" x14ac:dyDescent="0.25">
      <c r="B26" s="223" t="s">
        <v>324</v>
      </c>
      <c r="C26" s="223"/>
      <c r="D26" s="61">
        <f>Inputs!D33</f>
        <v>0</v>
      </c>
      <c r="F26" s="17"/>
      <c r="G26" s="17"/>
      <c r="H26" s="223" t="s">
        <v>320</v>
      </c>
      <c r="I26" s="223"/>
      <c r="J26" s="223"/>
      <c r="K26" s="17"/>
      <c r="L26" s="17"/>
      <c r="M26" s="17"/>
      <c r="N26" s="17"/>
      <c r="O26" s="17"/>
    </row>
    <row r="27" spans="2:15" x14ac:dyDescent="0.25">
      <c r="B27" s="223" t="s">
        <v>314</v>
      </c>
      <c r="C27" s="223"/>
      <c r="D27" s="61">
        <f>Inputs!D8</f>
        <v>0</v>
      </c>
      <c r="F27" s="17"/>
      <c r="G27" s="17"/>
      <c r="H27" s="118" t="s">
        <v>321</v>
      </c>
      <c r="I27" s="279">
        <f>1000/100</f>
        <v>10</v>
      </c>
      <c r="J27" s="280"/>
      <c r="K27" s="278">
        <f>I27*E2+I28</f>
        <v>250</v>
      </c>
      <c r="L27" s="17"/>
      <c r="M27" s="17"/>
      <c r="N27" s="17"/>
      <c r="O27" s="17"/>
    </row>
    <row r="28" spans="2:15" x14ac:dyDescent="0.25">
      <c r="B28" s="223" t="s">
        <v>325</v>
      </c>
      <c r="C28" s="223"/>
      <c r="D28" s="61">
        <v>50</v>
      </c>
      <c r="F28" s="17"/>
      <c r="G28" s="17"/>
      <c r="H28" s="153" t="s">
        <v>396</v>
      </c>
      <c r="I28" s="281">
        <v>250</v>
      </c>
      <c r="J28" s="282"/>
      <c r="K28" s="226"/>
      <c r="L28" s="17"/>
      <c r="M28" s="17"/>
      <c r="N28" s="17"/>
      <c r="O28" s="17"/>
    </row>
    <row r="29" spans="2:15" x14ac:dyDescent="0.25">
      <c r="B29" s="223" t="s">
        <v>326</v>
      </c>
      <c r="C29" s="223"/>
      <c r="D29" s="61">
        <f>ROUNDUP(D27/D28,0)</f>
        <v>0</v>
      </c>
      <c r="F29" s="17"/>
      <c r="G29" s="17"/>
      <c r="H29" s="118" t="s">
        <v>322</v>
      </c>
      <c r="I29" s="223">
        <f>Inputs!D102</f>
        <v>0</v>
      </c>
      <c r="J29" s="223"/>
      <c r="K29" s="226">
        <f>I29*E2+I30</f>
        <v>0</v>
      </c>
      <c r="L29" s="17"/>
      <c r="M29" s="17"/>
      <c r="N29" s="17"/>
      <c r="O29" s="17"/>
    </row>
    <row r="30" spans="2:15" x14ac:dyDescent="0.25">
      <c r="B30" s="223" t="s">
        <v>327</v>
      </c>
      <c r="C30" s="223"/>
      <c r="D30" s="61">
        <f>IF(D26&gt;D29,0,D29-D26)</f>
        <v>0</v>
      </c>
      <c r="F30" s="17"/>
      <c r="G30" s="17"/>
      <c r="H30" s="135" t="s">
        <v>397</v>
      </c>
      <c r="I30" s="223">
        <f>Inputs!D103</f>
        <v>0</v>
      </c>
      <c r="J30" s="223"/>
      <c r="K30" s="226"/>
      <c r="L30" s="17"/>
      <c r="M30" s="17"/>
      <c r="N30" s="17"/>
      <c r="O30" s="17"/>
    </row>
    <row r="31" spans="2:15" x14ac:dyDescent="0.25">
      <c r="B31" s="223" t="s">
        <v>328</v>
      </c>
      <c r="C31" s="223"/>
      <c r="D31" s="70">
        <f>700</f>
        <v>700</v>
      </c>
      <c r="E31" s="274">
        <f>SUM(D31:D32)</f>
        <v>800</v>
      </c>
      <c r="F31" s="17"/>
      <c r="G31" s="17"/>
      <c r="H31" s="17"/>
      <c r="I31" s="17"/>
      <c r="J31" s="17"/>
      <c r="K31" s="17"/>
      <c r="L31" s="17"/>
      <c r="M31" s="17"/>
      <c r="N31" s="17"/>
      <c r="O31" s="17"/>
    </row>
    <row r="32" spans="2:15" x14ac:dyDescent="0.25">
      <c r="B32" s="220" t="s">
        <v>398</v>
      </c>
      <c r="C32" s="222"/>
      <c r="D32" s="70">
        <v>100</v>
      </c>
      <c r="E32" s="275"/>
      <c r="F32" s="17"/>
      <c r="G32" s="17"/>
      <c r="H32" s="118" t="s">
        <v>323</v>
      </c>
      <c r="I32" s="279">
        <f>IF(Inputs!F34="Yes",0,IF(K29&lt;&gt;0,K29,K27))</f>
        <v>250</v>
      </c>
      <c r="J32" s="280"/>
      <c r="K32" s="17"/>
      <c r="L32" s="17"/>
      <c r="M32" s="17"/>
      <c r="N32" s="17"/>
      <c r="O32" s="17"/>
    </row>
    <row r="33" spans="1:15" x14ac:dyDescent="0.25">
      <c r="B33" s="223" t="s">
        <v>329</v>
      </c>
      <c r="C33" s="223"/>
      <c r="D33" s="70">
        <f>Inputs!D100</f>
        <v>0</v>
      </c>
      <c r="E33" s="276">
        <f>SUM(D33:D34)</f>
        <v>0</v>
      </c>
      <c r="F33" s="17"/>
      <c r="G33" s="17"/>
      <c r="H33" s="17"/>
      <c r="I33" s="17"/>
      <c r="J33" s="17"/>
      <c r="K33" s="17"/>
      <c r="L33" s="17"/>
      <c r="M33" s="17"/>
      <c r="N33" s="17"/>
      <c r="O33" s="17"/>
    </row>
    <row r="34" spans="1:15" x14ac:dyDescent="0.25">
      <c r="B34" s="220" t="s">
        <v>399</v>
      </c>
      <c r="C34" s="222"/>
      <c r="D34" s="70">
        <f>Inputs!D101</f>
        <v>0</v>
      </c>
      <c r="E34" s="277"/>
      <c r="F34" s="17"/>
      <c r="G34" s="17"/>
      <c r="H34" s="17"/>
      <c r="I34" s="17"/>
      <c r="J34" s="17"/>
      <c r="K34" s="17"/>
      <c r="L34" s="17"/>
      <c r="M34" s="17"/>
      <c r="N34" s="17"/>
      <c r="O34" s="17"/>
    </row>
    <row r="35" spans="1:15" x14ac:dyDescent="0.25">
      <c r="B35" s="223" t="s">
        <v>330</v>
      </c>
      <c r="C35" s="223"/>
      <c r="D35" s="70"/>
      <c r="E35" s="83">
        <f>IF(E33&lt;&gt;0,E33*D30,E31*D30)</f>
        <v>0</v>
      </c>
      <c r="F35" s="17"/>
      <c r="G35" s="17"/>
      <c r="H35" s="17"/>
      <c r="I35" s="17"/>
      <c r="J35" s="17"/>
      <c r="K35" s="17"/>
      <c r="L35" s="17"/>
      <c r="M35" s="17"/>
      <c r="N35" s="17"/>
      <c r="O35" s="17"/>
    </row>
    <row r="36" spans="1:15" x14ac:dyDescent="0.25">
      <c r="B36" s="17"/>
      <c r="C36" s="17"/>
      <c r="D36" s="17"/>
      <c r="E36" s="82"/>
      <c r="F36" s="17"/>
      <c r="G36" s="17"/>
      <c r="H36" s="17"/>
      <c r="I36" s="17"/>
      <c r="J36" s="17"/>
      <c r="K36" s="17"/>
      <c r="L36" s="17"/>
      <c r="M36" s="17"/>
      <c r="N36" s="17"/>
      <c r="O36" s="17"/>
    </row>
    <row r="37" spans="1:15" x14ac:dyDescent="0.25">
      <c r="B37" s="17"/>
      <c r="C37" s="17"/>
      <c r="D37" s="17"/>
      <c r="E37" s="82"/>
      <c r="F37" s="17"/>
      <c r="G37" s="17"/>
      <c r="H37" s="17"/>
      <c r="I37" s="17"/>
      <c r="J37" s="17"/>
      <c r="K37" s="17"/>
      <c r="L37" s="17"/>
      <c r="M37" s="17"/>
      <c r="N37" s="17"/>
      <c r="O37" s="17"/>
    </row>
    <row r="38" spans="1:15" x14ac:dyDescent="0.25">
      <c r="B38" s="3" t="s">
        <v>113</v>
      </c>
      <c r="C38" s="67">
        <f>IF(Inputs!D5=3,'Heating - Cooling'!C18,IF(E2=0,0,E35+I32))</f>
        <v>0</v>
      </c>
      <c r="D38" s="17"/>
      <c r="E38" s="82"/>
      <c r="F38" s="17"/>
      <c r="G38" s="17"/>
      <c r="H38" s="17"/>
      <c r="I38" s="17"/>
      <c r="J38" s="17"/>
      <c r="K38" s="17"/>
      <c r="L38" s="17"/>
      <c r="M38" s="17"/>
      <c r="N38" s="17"/>
      <c r="O38" s="17"/>
    </row>
    <row r="39" spans="1:15" x14ac:dyDescent="0.25">
      <c r="A39" s="17"/>
      <c r="B39" s="17"/>
      <c r="C39" s="17"/>
      <c r="D39" s="17"/>
      <c r="E39" s="17"/>
      <c r="F39" s="17"/>
      <c r="G39" s="17"/>
      <c r="H39" s="17"/>
      <c r="I39" s="17"/>
      <c r="J39" s="17"/>
      <c r="K39" s="17"/>
      <c r="L39" s="17"/>
      <c r="M39" s="17"/>
      <c r="N39" s="17"/>
      <c r="O39" s="17"/>
    </row>
    <row r="40" spans="1:15" x14ac:dyDescent="0.25">
      <c r="A40" s="17"/>
      <c r="B40" s="17"/>
      <c r="C40" s="17"/>
      <c r="D40" s="17"/>
      <c r="E40" s="17"/>
      <c r="F40" s="17"/>
      <c r="G40" s="17"/>
      <c r="H40" s="17"/>
      <c r="I40" s="17"/>
      <c r="J40" s="17"/>
      <c r="K40" s="17"/>
      <c r="L40" s="17"/>
      <c r="M40" s="17"/>
      <c r="N40" s="17"/>
      <c r="O40" s="17"/>
    </row>
    <row r="41" spans="1:15" x14ac:dyDescent="0.25">
      <c r="A41" s="17"/>
      <c r="B41" s="17"/>
      <c r="C41" s="17"/>
      <c r="D41" s="17"/>
      <c r="E41" s="17"/>
      <c r="F41" s="17"/>
      <c r="G41" s="17"/>
      <c r="H41" s="17"/>
      <c r="I41" s="17"/>
      <c r="J41" s="17"/>
      <c r="K41" s="17"/>
      <c r="L41" s="17"/>
      <c r="M41" s="17"/>
      <c r="N41" s="17"/>
      <c r="O41" s="17"/>
    </row>
    <row r="42" spans="1:15" x14ac:dyDescent="0.25">
      <c r="A42" s="17"/>
      <c r="B42" s="17"/>
      <c r="C42" s="17"/>
      <c r="D42" s="17"/>
      <c r="E42" s="17"/>
      <c r="F42" s="17"/>
      <c r="G42" s="17"/>
      <c r="H42" s="17"/>
      <c r="I42" s="17"/>
      <c r="J42" s="17"/>
      <c r="K42" s="17"/>
      <c r="L42" s="17"/>
      <c r="M42" s="17"/>
      <c r="N42" s="17"/>
      <c r="O42" s="17"/>
    </row>
    <row r="43" spans="1:15" x14ac:dyDescent="0.25">
      <c r="A43" s="17"/>
      <c r="B43" s="17"/>
      <c r="F43" s="17"/>
      <c r="G43" s="17"/>
      <c r="H43" s="17"/>
      <c r="I43" s="17"/>
      <c r="J43" s="17"/>
      <c r="K43" s="17"/>
      <c r="L43" s="17"/>
      <c r="M43" s="17"/>
      <c r="N43" s="17"/>
      <c r="O43" s="17"/>
    </row>
    <row r="44" spans="1:15" x14ac:dyDescent="0.25">
      <c r="A44" s="17"/>
      <c r="B44" s="17"/>
      <c r="C44" s="17"/>
      <c r="D44" s="17"/>
      <c r="E44" s="17"/>
      <c r="F44" s="17"/>
      <c r="G44" s="17"/>
      <c r="H44" s="17"/>
      <c r="I44" s="17"/>
      <c r="J44" s="17"/>
      <c r="K44" s="17"/>
      <c r="L44" s="17"/>
      <c r="M44" s="17"/>
      <c r="N44" s="17"/>
      <c r="O44" s="17"/>
    </row>
    <row r="45" spans="1:15" x14ac:dyDescent="0.25">
      <c r="A45" s="17"/>
      <c r="B45" s="17"/>
      <c r="C45" s="17"/>
      <c r="D45" s="17"/>
      <c r="E45" s="17"/>
      <c r="F45" s="17"/>
      <c r="G45" s="17"/>
      <c r="H45" s="17"/>
      <c r="I45" s="17"/>
      <c r="J45" s="17"/>
      <c r="K45" s="17"/>
      <c r="L45" s="17"/>
      <c r="M45" s="17"/>
      <c r="N45" s="17"/>
      <c r="O45" s="17"/>
    </row>
    <row r="46" spans="1:15" x14ac:dyDescent="0.25">
      <c r="A46" s="17"/>
      <c r="B46" s="17"/>
      <c r="C46" s="17"/>
      <c r="D46" s="17"/>
      <c r="E46" s="17"/>
      <c r="F46" s="17"/>
    </row>
    <row r="47" spans="1:15" x14ac:dyDescent="0.25">
      <c r="A47" s="17"/>
      <c r="B47" s="17"/>
      <c r="C47" s="17"/>
      <c r="D47" s="17"/>
      <c r="E47" s="17"/>
      <c r="F47" s="17"/>
    </row>
    <row r="48" spans="1:15" x14ac:dyDescent="0.25">
      <c r="A48" s="17"/>
      <c r="B48" s="17"/>
      <c r="C48" s="17"/>
      <c r="D48" s="17"/>
      <c r="E48" s="17"/>
      <c r="F48" s="17"/>
    </row>
    <row r="49" spans="1:6" x14ac:dyDescent="0.25">
      <c r="A49" s="17"/>
      <c r="B49" s="17"/>
      <c r="C49" s="17"/>
      <c r="D49" s="17"/>
      <c r="E49" s="17"/>
      <c r="F49" s="17"/>
    </row>
    <row r="50" spans="1:6" x14ac:dyDescent="0.25">
      <c r="A50" s="17"/>
      <c r="B50" s="17"/>
      <c r="C50" s="17"/>
      <c r="D50" s="17"/>
      <c r="E50" s="17"/>
      <c r="F50" s="17"/>
    </row>
    <row r="51" spans="1:6" x14ac:dyDescent="0.25">
      <c r="A51" s="17"/>
      <c r="B51" s="17"/>
      <c r="C51" s="17"/>
      <c r="D51" s="17"/>
      <c r="E51" s="17"/>
      <c r="F51" s="17"/>
    </row>
    <row r="52" spans="1:6" x14ac:dyDescent="0.25">
      <c r="A52" s="17"/>
      <c r="B52" s="17"/>
      <c r="C52" s="17"/>
      <c r="D52" s="17"/>
      <c r="E52" s="17"/>
      <c r="F52" s="17"/>
    </row>
    <row r="53" spans="1:6" x14ac:dyDescent="0.25">
      <c r="A53" s="17"/>
      <c r="B53" s="17"/>
      <c r="C53" s="17"/>
      <c r="D53" s="17"/>
      <c r="E53" s="17"/>
      <c r="F53" s="17"/>
    </row>
  </sheetData>
  <sheetProtection sheet="1" objects="1" scenarios="1" formatCells="0"/>
  <mergeCells count="35">
    <mergeCell ref="B35:C35"/>
    <mergeCell ref="B27:C27"/>
    <mergeCell ref="B28:C28"/>
    <mergeCell ref="B29:C29"/>
    <mergeCell ref="B31:C31"/>
    <mergeCell ref="B32:C32"/>
    <mergeCell ref="B33:C33"/>
    <mergeCell ref="B34:C34"/>
    <mergeCell ref="B9:C9"/>
    <mergeCell ref="B10:C10"/>
    <mergeCell ref="B11:C11"/>
    <mergeCell ref="B26:C26"/>
    <mergeCell ref="B30:C30"/>
    <mergeCell ref="H26:J26"/>
    <mergeCell ref="I27:J27"/>
    <mergeCell ref="I28:J28"/>
    <mergeCell ref="I32:J32"/>
    <mergeCell ref="B2:D2"/>
    <mergeCell ref="B12:C12"/>
    <mergeCell ref="B13:C13"/>
    <mergeCell ref="B14:C14"/>
    <mergeCell ref="E9:E11"/>
    <mergeCell ref="E12:E14"/>
    <mergeCell ref="H9:J9"/>
    <mergeCell ref="B24:O24"/>
    <mergeCell ref="B8:E8"/>
    <mergeCell ref="B15:C15"/>
    <mergeCell ref="H8:J8"/>
    <mergeCell ref="B6:O6"/>
    <mergeCell ref="E31:E32"/>
    <mergeCell ref="E33:E34"/>
    <mergeCell ref="I29:J29"/>
    <mergeCell ref="I30:J30"/>
    <mergeCell ref="K27:K28"/>
    <mergeCell ref="K29:K3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4:C12"/>
  <sheetViews>
    <sheetView workbookViewId="0">
      <selection activeCell="B43" sqref="B43"/>
    </sheetView>
  </sheetViews>
  <sheetFormatPr baseColWidth="10" defaultColWidth="9.140625" defaultRowHeight="15" x14ac:dyDescent="0.25"/>
  <cols>
    <col min="2" max="2" width="34.42578125" customWidth="1"/>
    <col min="3" max="3" width="11.42578125" bestFit="1" customWidth="1"/>
  </cols>
  <sheetData>
    <row r="4" spans="2:3" x14ac:dyDescent="0.25">
      <c r="B4" s="3" t="s">
        <v>314</v>
      </c>
      <c r="C4" s="3">
        <f>Inputs!D8</f>
        <v>0</v>
      </c>
    </row>
    <row r="6" spans="2:3" x14ac:dyDescent="0.25">
      <c r="B6" s="3" t="s">
        <v>121</v>
      </c>
      <c r="C6" s="3">
        <f>3000/100</f>
        <v>30</v>
      </c>
    </row>
    <row r="7" spans="2:3" x14ac:dyDescent="0.25">
      <c r="B7" s="3" t="s">
        <v>400</v>
      </c>
      <c r="C7" s="3">
        <f>6000/100</f>
        <v>60</v>
      </c>
    </row>
    <row r="8" spans="2:3" x14ac:dyDescent="0.25">
      <c r="B8" s="3" t="s">
        <v>331</v>
      </c>
      <c r="C8" s="3">
        <f>Inputs!D110</f>
        <v>0</v>
      </c>
    </row>
    <row r="9" spans="2:3" x14ac:dyDescent="0.25">
      <c r="B9" s="3" t="s">
        <v>401</v>
      </c>
      <c r="C9" s="3">
        <f>Inputs!D111</f>
        <v>0</v>
      </c>
    </row>
    <row r="11" spans="2:3" x14ac:dyDescent="0.25">
      <c r="B11" s="3" t="s">
        <v>332</v>
      </c>
      <c r="C11" s="161">
        <f>IF(C8&lt;&gt;0,C8*C4,C6*C4)</f>
        <v>0</v>
      </c>
    </row>
    <row r="12" spans="2:3" x14ac:dyDescent="0.25">
      <c r="B12" s="3" t="s">
        <v>333</v>
      </c>
      <c r="C12" s="161">
        <f>IF(C9&lt;&gt;0,C9*C4,C7*C4)</f>
        <v>0</v>
      </c>
    </row>
  </sheetData>
  <sheetProtection sheet="1" objects="1" scenarios="1" formatCells="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Inputs</vt:lpstr>
      <vt:lpstr>Results</vt:lpstr>
      <vt:lpstr>Windows</vt:lpstr>
      <vt:lpstr>Areas</vt:lpstr>
      <vt:lpstr>Ventilation</vt:lpstr>
      <vt:lpstr>Airtightness</vt:lpstr>
      <vt:lpstr>Heating - Cooling</vt:lpstr>
      <vt:lpstr>Study</vt:lpstr>
      <vt:lpstr>PHPP_Komponenten_Liste_Bauteilaufbauten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Jan Steiger</cp:lastModifiedBy>
  <dcterms:created xsi:type="dcterms:W3CDTF">2023-10-31T08:55:18Z</dcterms:created>
  <dcterms:modified xsi:type="dcterms:W3CDTF">2024-08-31T20:21:59Z</dcterms:modified>
</cp:coreProperties>
</file>